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OneDrive\Área de Trabalho\Compras\ANO 2023\PROCESSOS\CONCORRÊNCIA PÚBLICA\CP 03.23\"/>
    </mc:Choice>
  </mc:AlternateContent>
  <bookViews>
    <workbookView xWindow="0" yWindow="0" windowWidth="28800" windowHeight="12180" activeTab="6"/>
  </bookViews>
  <sheets>
    <sheet name="Planilha orçamentária" sheetId="1" r:id="rId1"/>
    <sheet name="Memória de Cálculo" sheetId="2" r:id="rId2"/>
    <sheet name="Planilha1" sheetId="6" state="hidden" r:id="rId3"/>
    <sheet name="CPU" sheetId="3" r:id="rId4"/>
    <sheet name="COTAÇÃO" sheetId="4" r:id="rId5"/>
    <sheet name="BDI" sheetId="7" r:id="rId6"/>
    <sheet name="Cronograma" sheetId="5" r:id="rId7"/>
  </sheets>
  <externalReferences>
    <externalReference r:id="rId8"/>
    <externalReference r:id="rId9"/>
    <externalReference r:id="rId10"/>
    <externalReference r:id="rId11"/>
  </externalReferences>
  <definedNames>
    <definedName name="_xlnm.Print_Area" localSheetId="5">BDI!$A$1:$J$52</definedName>
    <definedName name="_xlnm.Print_Area" localSheetId="4">COTAÇÃO!$A$1:$H$64</definedName>
    <definedName name="_xlnm.Print_Area" localSheetId="6">Cronograma!$A$1:$P$52</definedName>
    <definedName name="_xlnm.Print_Area" localSheetId="1">'Memória de Cálculo'!$A$1:$J$1927</definedName>
    <definedName name="_xlnm.Print_Area" localSheetId="0">'Planilha orçamentária'!$A$1:$I$195</definedName>
    <definedName name="DESONERACAO" hidden="1">IF(OR(Import.Desoneracao="DESONERADO",Import.Desoneracao="SIM"),"SIM","NÃO")</definedName>
    <definedName name="Import.Desoneracao" hidden="1">OFFSET([1]DADOS!$G$18,0,-1)</definedName>
    <definedName name="_xlnm.Print_Titles" localSheetId="4">COTAÇÃO!$1:$8</definedName>
    <definedName name="_xlnm.Print_Titles" localSheetId="3">CPU!$1:$8</definedName>
    <definedName name="_xlnm.Print_Titles" localSheetId="6">Cronograma!$1:$7</definedName>
    <definedName name="_xlnm.Print_Titles" localSheetId="0">'Planilha orçamentária'!$1:$9</definedName>
  </definedNames>
  <calcPr calcId="162913"/>
</workbook>
</file>

<file path=xl/calcChain.xml><?xml version="1.0" encoding="utf-8"?>
<calcChain xmlns="http://schemas.openxmlformats.org/spreadsheetml/2006/main">
  <c r="Q9" i="5" l="1"/>
  <c r="Q13" i="5"/>
  <c r="Q15" i="5"/>
  <c r="Q17" i="5"/>
  <c r="Q19" i="5"/>
  <c r="Q21" i="5"/>
  <c r="Q23" i="5"/>
  <c r="Q25" i="5"/>
  <c r="Q27" i="5"/>
  <c r="Q29" i="5"/>
  <c r="Q31" i="5"/>
  <c r="Q33" i="5"/>
  <c r="Q35" i="5"/>
  <c r="Q37" i="5"/>
  <c r="Q39" i="5"/>
  <c r="Q41" i="5"/>
  <c r="Q43" i="5"/>
  <c r="Q45" i="5"/>
  <c r="Q47" i="5"/>
  <c r="Q49" i="5"/>
  <c r="F11" i="5"/>
  <c r="G11" i="5"/>
  <c r="H11" i="5"/>
  <c r="I11" i="5"/>
  <c r="J11" i="5"/>
  <c r="K11" i="5"/>
  <c r="L11" i="5"/>
  <c r="M11" i="5"/>
  <c r="N11" i="5"/>
  <c r="E11" i="5"/>
  <c r="Q11" i="5" s="1"/>
  <c r="E201" i="1" l="1"/>
  <c r="J1693" i="2" l="1"/>
  <c r="J1694" i="2"/>
  <c r="J1687" i="2"/>
  <c r="J1688" i="2"/>
  <c r="A256" i="2" l="1"/>
  <c r="B221" i="2"/>
  <c r="A221" i="2"/>
  <c r="A257" i="2"/>
  <c r="B257" i="2"/>
  <c r="H259" i="2"/>
  <c r="J259" i="2" s="1"/>
  <c r="H260" i="2"/>
  <c r="J260" i="2" s="1"/>
  <c r="H261" i="2"/>
  <c r="J261" i="2" s="1"/>
  <c r="H262" i="2"/>
  <c r="J262" i="2" s="1"/>
  <c r="H263" i="2"/>
  <c r="J263" i="2" s="1"/>
  <c r="H264" i="2"/>
  <c r="J264" i="2" s="1"/>
  <c r="H265" i="2"/>
  <c r="J265" i="2" s="1"/>
  <c r="H266" i="2"/>
  <c r="J266" i="2" s="1"/>
  <c r="H267" i="2"/>
  <c r="J267" i="2" s="1"/>
  <c r="H268" i="2"/>
  <c r="J268" i="2" s="1"/>
  <c r="H269" i="2"/>
  <c r="J269" i="2" s="1"/>
  <c r="H270" i="2"/>
  <c r="J270" i="2" s="1"/>
  <c r="H271" i="2"/>
  <c r="J271" i="2" s="1"/>
  <c r="H272" i="2"/>
  <c r="J272" i="2" s="1"/>
  <c r="H273" i="2"/>
  <c r="J273" i="2" s="1"/>
  <c r="H274" i="2"/>
  <c r="J274" i="2" s="1"/>
  <c r="H275" i="2"/>
  <c r="J275" i="2" s="1"/>
  <c r="H276" i="2"/>
  <c r="J276" i="2" s="1"/>
  <c r="H277" i="2"/>
  <c r="J277" i="2" s="1"/>
  <c r="H278" i="2"/>
  <c r="J278" i="2" s="1"/>
  <c r="H279" i="2"/>
  <c r="J279" i="2" s="1"/>
  <c r="H280" i="2"/>
  <c r="J280" i="2" s="1"/>
  <c r="H281" i="2"/>
  <c r="J281" i="2" s="1"/>
  <c r="H282" i="2"/>
  <c r="J282" i="2" s="1"/>
  <c r="H283" i="2"/>
  <c r="J283" i="2" s="1"/>
  <c r="H284" i="2"/>
  <c r="J284" i="2" s="1"/>
  <c r="H285" i="2"/>
  <c r="J285" i="2" s="1"/>
  <c r="H286" i="2"/>
  <c r="J286" i="2" s="1"/>
  <c r="H287" i="2"/>
  <c r="J287" i="2" s="1"/>
  <c r="H288" i="2"/>
  <c r="J288" i="2" s="1"/>
  <c r="H289" i="2"/>
  <c r="J289" i="2" s="1"/>
  <c r="H290" i="2"/>
  <c r="J290" i="2" s="1"/>
  <c r="H291" i="2"/>
  <c r="J291" i="2" s="1"/>
  <c r="H292" i="2"/>
  <c r="J292" i="2" s="1"/>
  <c r="H293" i="2"/>
  <c r="J293" i="2" s="1"/>
  <c r="H294" i="2"/>
  <c r="J294" i="2" s="1"/>
  <c r="A295" i="2"/>
  <c r="D255" i="2"/>
  <c r="D254" i="2"/>
  <c r="D253" i="2"/>
  <c r="D252" i="2"/>
  <c r="D251" i="2"/>
  <c r="D250" i="2"/>
  <c r="D249" i="2"/>
  <c r="D248" i="2"/>
  <c r="D247" i="2"/>
  <c r="D246" i="2"/>
  <c r="D245" i="2"/>
  <c r="D244" i="2"/>
  <c r="D243" i="2"/>
  <c r="D242" i="2"/>
  <c r="D241" i="2"/>
  <c r="D240" i="2"/>
  <c r="D239" i="2"/>
  <c r="D238" i="2"/>
  <c r="D237" i="2"/>
  <c r="D236" i="2"/>
  <c r="D235" i="2"/>
  <c r="D234" i="2"/>
  <c r="D233" i="2"/>
  <c r="D232" i="2"/>
  <c r="D231" i="2"/>
  <c r="D230" i="2"/>
  <c r="D229" i="2"/>
  <c r="D228" i="2"/>
  <c r="D227" i="2"/>
  <c r="D226" i="2"/>
  <c r="D225" i="2"/>
  <c r="D224" i="2"/>
  <c r="J224" i="2" s="1"/>
  <c r="D219" i="2"/>
  <c r="J219" i="2" s="1"/>
  <c r="D218" i="2"/>
  <c r="J218" i="2" s="1"/>
  <c r="D217" i="2"/>
  <c r="J217" i="2" s="1"/>
  <c r="D216" i="2"/>
  <c r="J216" i="2" s="1"/>
  <c r="D215" i="2"/>
  <c r="J215" i="2" s="1"/>
  <c r="D214" i="2"/>
  <c r="J214" i="2" s="1"/>
  <c r="D213" i="2"/>
  <c r="J213" i="2" s="1"/>
  <c r="D212" i="2"/>
  <c r="J212" i="2" s="1"/>
  <c r="D211" i="2"/>
  <c r="J211" i="2" s="1"/>
  <c r="D210" i="2"/>
  <c r="J210" i="2" s="1"/>
  <c r="D209" i="2"/>
  <c r="J209" i="2" s="1"/>
  <c r="D208" i="2"/>
  <c r="J208" i="2" s="1"/>
  <c r="D207" i="2"/>
  <c r="J207" i="2" s="1"/>
  <c r="D206" i="2"/>
  <c r="J206" i="2" s="1"/>
  <c r="D205" i="2"/>
  <c r="J205" i="2" s="1"/>
  <c r="D204" i="2"/>
  <c r="J204" i="2" s="1"/>
  <c r="D203" i="2"/>
  <c r="J203" i="2" s="1"/>
  <c r="D202" i="2"/>
  <c r="J202" i="2" s="1"/>
  <c r="D201" i="2"/>
  <c r="J201" i="2" s="1"/>
  <c r="D200" i="2"/>
  <c r="J200" i="2" s="1"/>
  <c r="D199" i="2"/>
  <c r="J199" i="2" s="1"/>
  <c r="D198" i="2"/>
  <c r="J198" i="2" s="1"/>
  <c r="D197" i="2"/>
  <c r="J197" i="2" s="1"/>
  <c r="D196" i="2"/>
  <c r="J196" i="2" s="1"/>
  <c r="D195" i="2"/>
  <c r="J195" i="2" s="1"/>
  <c r="D194" i="2"/>
  <c r="J194" i="2" s="1"/>
  <c r="D193" i="2"/>
  <c r="J193" i="2" s="1"/>
  <c r="D192" i="2"/>
  <c r="J192" i="2" s="1"/>
  <c r="D191" i="2"/>
  <c r="J191" i="2" s="1"/>
  <c r="D190" i="2"/>
  <c r="J190" i="2" s="1"/>
  <c r="D189" i="2"/>
  <c r="J189" i="2" s="1"/>
  <c r="D188" i="2"/>
  <c r="J188" i="2" s="1"/>
  <c r="A220" i="2"/>
  <c r="B185" i="2"/>
  <c r="A185" i="2"/>
  <c r="D174" i="2"/>
  <c r="J174" i="2" s="1"/>
  <c r="A184" i="2"/>
  <c r="D183" i="2"/>
  <c r="J183" i="2" s="1"/>
  <c r="D182" i="2"/>
  <c r="J182" i="2" s="1"/>
  <c r="B179" i="2"/>
  <c r="A179" i="2"/>
  <c r="A178" i="2"/>
  <c r="D177" i="2"/>
  <c r="J177" i="2" s="1"/>
  <c r="D176" i="2"/>
  <c r="J176" i="2" s="1"/>
  <c r="D173" i="2"/>
  <c r="J173" i="2" s="1"/>
  <c r="D171" i="2"/>
  <c r="J171" i="2" s="1"/>
  <c r="D169" i="2"/>
  <c r="J169" i="2" s="1"/>
  <c r="D167" i="2"/>
  <c r="J167" i="2" s="1"/>
  <c r="D165" i="2"/>
  <c r="J165" i="2" s="1"/>
  <c r="D163" i="2"/>
  <c r="J163" i="2" s="1"/>
  <c r="D161" i="2"/>
  <c r="J161" i="2" s="1"/>
  <c r="D159" i="2"/>
  <c r="J159" i="2" s="1"/>
  <c r="D157" i="2"/>
  <c r="J157" i="2" s="1"/>
  <c r="D155" i="2"/>
  <c r="J155" i="2" s="1"/>
  <c r="D153" i="2"/>
  <c r="J153" i="2" s="1"/>
  <c r="D151" i="2"/>
  <c r="J151" i="2" s="1"/>
  <c r="D149" i="2"/>
  <c r="J149" i="2" s="1"/>
  <c r="D146" i="2"/>
  <c r="J146" i="2" s="1"/>
  <c r="D144" i="2"/>
  <c r="J144" i="2" s="1"/>
  <c r="D147" i="2"/>
  <c r="J147" i="2" s="1"/>
  <c r="D145" i="2"/>
  <c r="J145" i="2" s="1"/>
  <c r="D148" i="2"/>
  <c r="J148" i="2" s="1"/>
  <c r="D150" i="2"/>
  <c r="J150" i="2" s="1"/>
  <c r="D152" i="2"/>
  <c r="J152" i="2" s="1"/>
  <c r="D154" i="2"/>
  <c r="J154" i="2" s="1"/>
  <c r="D156" i="2"/>
  <c r="J156" i="2" s="1"/>
  <c r="D158" i="2"/>
  <c r="J158" i="2" s="1"/>
  <c r="D160" i="2"/>
  <c r="J160" i="2" s="1"/>
  <c r="D162" i="2"/>
  <c r="J162" i="2" s="1"/>
  <c r="D164" i="2"/>
  <c r="J164" i="2" s="1"/>
  <c r="D166" i="2"/>
  <c r="J166" i="2" s="1"/>
  <c r="D168" i="2"/>
  <c r="J168" i="2" s="1"/>
  <c r="D170" i="2"/>
  <c r="J170" i="2" s="1"/>
  <c r="D172" i="2"/>
  <c r="J172" i="2" s="1"/>
  <c r="B140" i="2"/>
  <c r="A140" i="2"/>
  <c r="D143" i="2"/>
  <c r="J143" i="2" s="1"/>
  <c r="J220" i="2" l="1"/>
  <c r="E39" i="1" s="1"/>
  <c r="J295" i="2"/>
  <c r="J184" i="2"/>
  <c r="E38" i="1" s="1"/>
  <c r="J178" i="2"/>
  <c r="E37" i="1" s="1"/>
  <c r="G1775" i="2" l="1"/>
  <c r="G1707" i="2"/>
  <c r="J1707" i="2" s="1"/>
  <c r="G1706" i="2"/>
  <c r="J1706" i="2" s="1"/>
  <c r="G1705" i="2"/>
  <c r="J1705" i="2" s="1"/>
  <c r="G1704" i="2"/>
  <c r="J1704" i="2" s="1"/>
  <c r="G1703" i="2"/>
  <c r="J1703" i="2" s="1"/>
  <c r="G1702" i="2"/>
  <c r="G1882" i="2" l="1"/>
  <c r="G1878" i="2"/>
  <c r="B173" i="1"/>
  <c r="G1874" i="2"/>
  <c r="J1874" i="2" s="1"/>
  <c r="J1875" i="2" s="1"/>
  <c r="E171" i="1" s="1"/>
  <c r="G1870" i="2"/>
  <c r="A1875" i="2"/>
  <c r="B1872" i="2"/>
  <c r="A1872" i="2"/>
  <c r="G1866" i="2"/>
  <c r="G1862" i="2"/>
  <c r="G1858" i="2"/>
  <c r="G1721" i="2" l="1"/>
  <c r="G1725" i="2"/>
  <c r="J1725" i="2" s="1"/>
  <c r="J1726" i="2" s="1"/>
  <c r="E124" i="1" s="1"/>
  <c r="A1726" i="2"/>
  <c r="B1723" i="2"/>
  <c r="A1723" i="2"/>
  <c r="G1717" i="2"/>
  <c r="J1717" i="2" s="1"/>
  <c r="G1716" i="2"/>
  <c r="J1716" i="2" s="1"/>
  <c r="G1712" i="2"/>
  <c r="J1712" i="2" s="1"/>
  <c r="G1711" i="2"/>
  <c r="J1711" i="2" s="1"/>
  <c r="J1718" i="2" l="1"/>
  <c r="J1713" i="2"/>
  <c r="B16" i="3"/>
  <c r="A77" i="2" l="1"/>
  <c r="B71" i="2"/>
  <c r="A71" i="2"/>
  <c r="H76" i="2"/>
  <c r="J76" i="2" s="1"/>
  <c r="H75" i="2"/>
  <c r="J75" i="2" s="1"/>
  <c r="H74" i="2"/>
  <c r="H73" i="2"/>
  <c r="F1328" i="2" l="1"/>
  <c r="F1327" i="2"/>
  <c r="F1326" i="2"/>
  <c r="F1324" i="2"/>
  <c r="F1323" i="2"/>
  <c r="F1322" i="2"/>
  <c r="F1320" i="2"/>
  <c r="F1319" i="2"/>
  <c r="F1318" i="2"/>
  <c r="F1316" i="2"/>
  <c r="F1315" i="2"/>
  <c r="F1314" i="2"/>
  <c r="F1313" i="2"/>
  <c r="F1310" i="2"/>
  <c r="F1309" i="2"/>
  <c r="F1308" i="2"/>
  <c r="F1306" i="2"/>
  <c r="F1305" i="2"/>
  <c r="F1304" i="2"/>
  <c r="F1302" i="2"/>
  <c r="F1301" i="2"/>
  <c r="F1300" i="2"/>
  <c r="F1298" i="2"/>
  <c r="F1297" i="2"/>
  <c r="F1296" i="2"/>
  <c r="F1295" i="2"/>
  <c r="F1292" i="2"/>
  <c r="F1291" i="2"/>
  <c r="F1290" i="2"/>
  <c r="F1288" i="2"/>
  <c r="F1287" i="2"/>
  <c r="F1286" i="2"/>
  <c r="F1284" i="2"/>
  <c r="F1283" i="2"/>
  <c r="F1282" i="2"/>
  <c r="F1280" i="2"/>
  <c r="F1279" i="2"/>
  <c r="F1278" i="2"/>
  <c r="F1277" i="2"/>
  <c r="F1274" i="2"/>
  <c r="F1273" i="2"/>
  <c r="F1272" i="2"/>
  <c r="F1270" i="2"/>
  <c r="F1269" i="2"/>
  <c r="F1268" i="2"/>
  <c r="F1266" i="2"/>
  <c r="F1265" i="2"/>
  <c r="F1264" i="2"/>
  <c r="F1262" i="2"/>
  <c r="F1261" i="2"/>
  <c r="F1260" i="2"/>
  <c r="F1198" i="2"/>
  <c r="F1197" i="2"/>
  <c r="F1196" i="2"/>
  <c r="F1193" i="2"/>
  <c r="F1192" i="2"/>
  <c r="F1191" i="2"/>
  <c r="F1189" i="2"/>
  <c r="F1188" i="2"/>
  <c r="F1187" i="2"/>
  <c r="F1185" i="2"/>
  <c r="F1184" i="2"/>
  <c r="F1183" i="2"/>
  <c r="F1180" i="2"/>
  <c r="F1181" i="2"/>
  <c r="F1179" i="2"/>
  <c r="F663" i="2"/>
  <c r="F664" i="2"/>
  <c r="F665" i="2"/>
  <c r="F666" i="2"/>
  <c r="F667" i="2"/>
  <c r="F668" i="2"/>
  <c r="F669" i="2"/>
  <c r="F670" i="2"/>
  <c r="F671" i="2"/>
  <c r="F672" i="2"/>
  <c r="F673" i="2"/>
  <c r="F674" i="2"/>
  <c r="F675" i="2"/>
  <c r="F676" i="2"/>
  <c r="F677" i="2"/>
  <c r="F678" i="2"/>
  <c r="F679" i="2"/>
  <c r="F680" i="2"/>
  <c r="F681" i="2"/>
  <c r="F682" i="2"/>
  <c r="F683" i="2"/>
  <c r="F684" i="2"/>
  <c r="F685" i="2"/>
  <c r="F686" i="2"/>
  <c r="F687" i="2"/>
  <c r="F688" i="2"/>
  <c r="F689" i="2"/>
  <c r="F690" i="2"/>
  <c r="F691" i="2"/>
  <c r="F692" i="2"/>
  <c r="F693" i="2"/>
  <c r="F694" i="2"/>
  <c r="F695" i="2"/>
  <c r="F696" i="2"/>
  <c r="F697" i="2"/>
  <c r="F698" i="2"/>
  <c r="F699" i="2"/>
  <c r="F700" i="2"/>
  <c r="F701" i="2"/>
  <c r="F702" i="2"/>
  <c r="F703" i="2"/>
  <c r="F704" i="2"/>
  <c r="F705" i="2"/>
  <c r="F706" i="2"/>
  <c r="F707" i="2"/>
  <c r="F708" i="2"/>
  <c r="F709" i="2"/>
  <c r="F710" i="2"/>
  <c r="F711" i="2"/>
  <c r="F712" i="2"/>
  <c r="F662" i="2"/>
  <c r="F619" i="2"/>
  <c r="F620" i="2"/>
  <c r="F621" i="2"/>
  <c r="F622" i="2"/>
  <c r="F623" i="2"/>
  <c r="F624" i="2"/>
  <c r="F625" i="2"/>
  <c r="F626" i="2"/>
  <c r="F627" i="2"/>
  <c r="F628" i="2"/>
  <c r="F629" i="2"/>
  <c r="F630" i="2"/>
  <c r="F631" i="2"/>
  <c r="F632" i="2"/>
  <c r="F633" i="2"/>
  <c r="F634" i="2"/>
  <c r="F635" i="2"/>
  <c r="F636" i="2"/>
  <c r="F637" i="2"/>
  <c r="F638" i="2"/>
  <c r="F639" i="2"/>
  <c r="F640" i="2"/>
  <c r="F641" i="2"/>
  <c r="F642" i="2"/>
  <c r="F643" i="2"/>
  <c r="F644" i="2"/>
  <c r="F645" i="2"/>
  <c r="F646" i="2"/>
  <c r="F647" i="2"/>
  <c r="F648" i="2"/>
  <c r="F649" i="2"/>
  <c r="F618" i="2"/>
  <c r="F578" i="2"/>
  <c r="F579" i="2"/>
  <c r="F580" i="2"/>
  <c r="F581" i="2"/>
  <c r="F582" i="2"/>
  <c r="F583" i="2"/>
  <c r="F584" i="2"/>
  <c r="F585" i="2"/>
  <c r="F586" i="2"/>
  <c r="F587" i="2"/>
  <c r="F588" i="2"/>
  <c r="F589" i="2"/>
  <c r="F590" i="2"/>
  <c r="F591" i="2"/>
  <c r="F592" i="2"/>
  <c r="F593" i="2"/>
  <c r="F594" i="2"/>
  <c r="F595" i="2"/>
  <c r="F596" i="2"/>
  <c r="F597" i="2"/>
  <c r="F598" i="2"/>
  <c r="F599" i="2"/>
  <c r="F600" i="2"/>
  <c r="F601" i="2"/>
  <c r="F602" i="2"/>
  <c r="F603" i="2"/>
  <c r="F604" i="2"/>
  <c r="F605" i="2"/>
  <c r="F606" i="2"/>
  <c r="F607" i="2"/>
  <c r="F608" i="2"/>
  <c r="F577" i="2"/>
  <c r="B367" i="2"/>
  <c r="F314" i="2"/>
  <c r="F315" i="2"/>
  <c r="F316" i="2"/>
  <c r="F317" i="2"/>
  <c r="F318" i="2"/>
  <c r="F319" i="2"/>
  <c r="F320" i="2"/>
  <c r="F313" i="2"/>
  <c r="F300" i="2"/>
  <c r="F301" i="2"/>
  <c r="F302" i="2"/>
  <c r="F303" i="2"/>
  <c r="F304" i="2"/>
  <c r="F305" i="2"/>
  <c r="F306" i="2"/>
  <c r="F307" i="2"/>
  <c r="F308" i="2"/>
  <c r="F309" i="2"/>
  <c r="F299" i="2"/>
  <c r="G129" i="2"/>
  <c r="G121" i="2"/>
  <c r="G120" i="2"/>
  <c r="G119" i="2"/>
  <c r="G118" i="2"/>
  <c r="G117" i="2"/>
  <c r="G110" i="2"/>
  <c r="J110" i="2" s="1"/>
  <c r="G109" i="2"/>
  <c r="G108" i="2"/>
  <c r="G107" i="2"/>
  <c r="G106" i="2"/>
  <c r="G105" i="2"/>
  <c r="G104" i="2"/>
  <c r="G103" i="2"/>
  <c r="G102" i="2"/>
  <c r="G101" i="2"/>
  <c r="G100" i="2"/>
  <c r="G99" i="2"/>
  <c r="G98" i="2"/>
  <c r="J90" i="2"/>
  <c r="H91" i="2"/>
  <c r="J91" i="2" s="1"/>
  <c r="H83" i="2"/>
  <c r="H82" i="2"/>
  <c r="H81" i="2"/>
  <c r="H80" i="2"/>
  <c r="H64" i="2"/>
  <c r="G63" i="2"/>
  <c r="J1602" i="2" l="1"/>
  <c r="I1337" i="2"/>
  <c r="I1335" i="2"/>
  <c r="I1331" i="2"/>
  <c r="I1328" i="2"/>
  <c r="I1327" i="2"/>
  <c r="I1326" i="2"/>
  <c r="I1324" i="2"/>
  <c r="I1323" i="2"/>
  <c r="I1322" i="2"/>
  <c r="I1320" i="2"/>
  <c r="I1319" i="2"/>
  <c r="I1318" i="2"/>
  <c r="I1316" i="2"/>
  <c r="I1315" i="2"/>
  <c r="I1314" i="2"/>
  <c r="I1313" i="2"/>
  <c r="I1310" i="2"/>
  <c r="I1309" i="2"/>
  <c r="I1308" i="2"/>
  <c r="I1306" i="2"/>
  <c r="I1305" i="2"/>
  <c r="I1304" i="2"/>
  <c r="I1302" i="2"/>
  <c r="I1301" i="2"/>
  <c r="I1300" i="2"/>
  <c r="I1298" i="2"/>
  <c r="I1297" i="2"/>
  <c r="I1296" i="2"/>
  <c r="I1295" i="2"/>
  <c r="I1292" i="2"/>
  <c r="I1291" i="2"/>
  <c r="I1290" i="2"/>
  <c r="I1288" i="2"/>
  <c r="I1287" i="2"/>
  <c r="I1286" i="2"/>
  <c r="I1284" i="2"/>
  <c r="I1283" i="2"/>
  <c r="I1282" i="2"/>
  <c r="I1280" i="2"/>
  <c r="I1279" i="2"/>
  <c r="I1278" i="2"/>
  <c r="I1277" i="2"/>
  <c r="I1274" i="2"/>
  <c r="I1273" i="2"/>
  <c r="I1272" i="2"/>
  <c r="I1270" i="2"/>
  <c r="I1269" i="2"/>
  <c r="I1268" i="2"/>
  <c r="I1266" i="2"/>
  <c r="I1265" i="2"/>
  <c r="I1264" i="2"/>
  <c r="I1262" i="2"/>
  <c r="I1261" i="2"/>
  <c r="I1260" i="2"/>
  <c r="I1256" i="2"/>
  <c r="D1256" i="2"/>
  <c r="D1255" i="2"/>
  <c r="I1254" i="2"/>
  <c r="D1254" i="2"/>
  <c r="D1253" i="2"/>
  <c r="D1252" i="2"/>
  <c r="D1251" i="2"/>
  <c r="I1250" i="2"/>
  <c r="D1250" i="2"/>
  <c r="H1249" i="2"/>
  <c r="J1249" i="2" s="1"/>
  <c r="I1247" i="2"/>
  <c r="I1246" i="2"/>
  <c r="I1245" i="2"/>
  <c r="I1243" i="2"/>
  <c r="I1242" i="2"/>
  <c r="I1241" i="2"/>
  <c r="I1239" i="2"/>
  <c r="I1238" i="2"/>
  <c r="I1237" i="2"/>
  <c r="I1235" i="2"/>
  <c r="I1234" i="2"/>
  <c r="I1233" i="2"/>
  <c r="I1232" i="2"/>
  <c r="I1229" i="2"/>
  <c r="I1228" i="2"/>
  <c r="I1227" i="2"/>
  <c r="I1225" i="2"/>
  <c r="I1224" i="2"/>
  <c r="I1223" i="2"/>
  <c r="I1221" i="2"/>
  <c r="I1220" i="2"/>
  <c r="I1219" i="2"/>
  <c r="I1217" i="2"/>
  <c r="I1216" i="2"/>
  <c r="I1215" i="2"/>
  <c r="I1214" i="2"/>
  <c r="I1211" i="2"/>
  <c r="I1210" i="2"/>
  <c r="I1209" i="2"/>
  <c r="I1207" i="2"/>
  <c r="I1206" i="2"/>
  <c r="I1205" i="2"/>
  <c r="I1203" i="2"/>
  <c r="I1202" i="2"/>
  <c r="I1201" i="2"/>
  <c r="I1199" i="2"/>
  <c r="I1198" i="2"/>
  <c r="I1197" i="2"/>
  <c r="I1196" i="2"/>
  <c r="I1193" i="2"/>
  <c r="I1192" i="2"/>
  <c r="I1191" i="2"/>
  <c r="I1189" i="2"/>
  <c r="I1188" i="2"/>
  <c r="I1187" i="2"/>
  <c r="I1185" i="2"/>
  <c r="I1184" i="2"/>
  <c r="I1183" i="2"/>
  <c r="I1181" i="2"/>
  <c r="I1180" i="2"/>
  <c r="I1179" i="2"/>
  <c r="J1028" i="2"/>
  <c r="J1029" i="2"/>
  <c r="I713" i="2"/>
  <c r="I712" i="2"/>
  <c r="I711" i="2"/>
  <c r="I710" i="2"/>
  <c r="I709" i="2"/>
  <c r="I708" i="2"/>
  <c r="I707" i="2"/>
  <c r="I706" i="2"/>
  <c r="I705" i="2"/>
  <c r="I704" i="2"/>
  <c r="I703" i="2"/>
  <c r="I702" i="2"/>
  <c r="I701" i="2"/>
  <c r="I700" i="2"/>
  <c r="I699" i="2"/>
  <c r="I698" i="2"/>
  <c r="I697" i="2"/>
  <c r="I696" i="2"/>
  <c r="I695" i="2"/>
  <c r="I694" i="2"/>
  <c r="I693" i="2"/>
  <c r="I692" i="2"/>
  <c r="I691" i="2"/>
  <c r="I690" i="2"/>
  <c r="I689" i="2"/>
  <c r="I688" i="2"/>
  <c r="I687" i="2"/>
  <c r="I686" i="2"/>
  <c r="I685" i="2"/>
  <c r="I684" i="2"/>
  <c r="I683" i="2"/>
  <c r="I682" i="2"/>
  <c r="I681" i="2"/>
  <c r="I680" i="2"/>
  <c r="I679" i="2"/>
  <c r="I678" i="2"/>
  <c r="I677" i="2"/>
  <c r="I676" i="2"/>
  <c r="I675" i="2"/>
  <c r="I674" i="2"/>
  <c r="I673" i="2"/>
  <c r="I672" i="2"/>
  <c r="I671" i="2"/>
  <c r="I670" i="2"/>
  <c r="I669" i="2"/>
  <c r="I668" i="2"/>
  <c r="I667" i="2"/>
  <c r="I666" i="2"/>
  <c r="I665" i="2"/>
  <c r="I664" i="2"/>
  <c r="I663" i="2"/>
  <c r="I662" i="2"/>
  <c r="I649" i="2"/>
  <c r="I648" i="2"/>
  <c r="I647" i="2"/>
  <c r="I646" i="2"/>
  <c r="I645" i="2"/>
  <c r="I644" i="2"/>
  <c r="I643" i="2"/>
  <c r="I642" i="2"/>
  <c r="I641" i="2"/>
  <c r="I640" i="2"/>
  <c r="I639" i="2"/>
  <c r="I638" i="2"/>
  <c r="I637" i="2"/>
  <c r="I636" i="2"/>
  <c r="I635" i="2"/>
  <c r="I634" i="2"/>
  <c r="I633" i="2"/>
  <c r="I632" i="2"/>
  <c r="I631" i="2"/>
  <c r="I630" i="2"/>
  <c r="I629" i="2"/>
  <c r="I628" i="2"/>
  <c r="I627" i="2"/>
  <c r="I626" i="2"/>
  <c r="I625" i="2"/>
  <c r="I624" i="2"/>
  <c r="I623" i="2"/>
  <c r="I622" i="2"/>
  <c r="I621" i="2"/>
  <c r="I620" i="2"/>
  <c r="I619" i="2"/>
  <c r="I618" i="2"/>
  <c r="B1902" i="2"/>
  <c r="B1907" i="2"/>
  <c r="J1250" i="2" l="1"/>
  <c r="I614" i="2"/>
  <c r="I612" i="2"/>
  <c r="I608" i="2"/>
  <c r="I607" i="2"/>
  <c r="I606" i="2"/>
  <c r="I605" i="2"/>
  <c r="I604" i="2"/>
  <c r="I603" i="2"/>
  <c r="I602" i="2"/>
  <c r="I601" i="2"/>
  <c r="I600" i="2"/>
  <c r="I599" i="2"/>
  <c r="I598" i="2"/>
  <c r="I597" i="2"/>
  <c r="I596" i="2"/>
  <c r="I595" i="2"/>
  <c r="I594" i="2"/>
  <c r="I593" i="2"/>
  <c r="I592" i="2"/>
  <c r="I591" i="2"/>
  <c r="I590" i="2"/>
  <c r="I589" i="2"/>
  <c r="I588" i="2"/>
  <c r="I587" i="2"/>
  <c r="I586" i="2"/>
  <c r="I585" i="2"/>
  <c r="I584" i="2"/>
  <c r="I583" i="2"/>
  <c r="I582" i="2"/>
  <c r="I581" i="2"/>
  <c r="I580" i="2"/>
  <c r="I579" i="2"/>
  <c r="I578" i="2"/>
  <c r="I577" i="2"/>
  <c r="A537" i="2"/>
  <c r="B503" i="2"/>
  <c r="A503" i="2"/>
  <c r="A502" i="2"/>
  <c r="B468" i="2"/>
  <c r="A468" i="2"/>
  <c r="I501" i="2"/>
  <c r="I500" i="2"/>
  <c r="I499" i="2"/>
  <c r="I498" i="2"/>
  <c r="I497" i="2"/>
  <c r="I496" i="2"/>
  <c r="I495" i="2"/>
  <c r="I494" i="2"/>
  <c r="I493" i="2"/>
  <c r="I492" i="2"/>
  <c r="I491" i="2"/>
  <c r="I490" i="2"/>
  <c r="I489" i="2"/>
  <c r="I488" i="2"/>
  <c r="I487" i="2"/>
  <c r="I486" i="2"/>
  <c r="I485" i="2"/>
  <c r="I484" i="2"/>
  <c r="I483" i="2"/>
  <c r="I482" i="2"/>
  <c r="I481" i="2"/>
  <c r="I480" i="2"/>
  <c r="I479" i="2"/>
  <c r="I478" i="2"/>
  <c r="I477" i="2"/>
  <c r="I476" i="2"/>
  <c r="I475" i="2"/>
  <c r="I474" i="2"/>
  <c r="I473" i="2"/>
  <c r="I472" i="2"/>
  <c r="I471" i="2"/>
  <c r="I470" i="2"/>
  <c r="I320" i="2"/>
  <c r="D320" i="2"/>
  <c r="I319" i="2"/>
  <c r="D319" i="2"/>
  <c r="I318" i="2"/>
  <c r="D318" i="2"/>
  <c r="I317" i="2"/>
  <c r="D317" i="2"/>
  <c r="I316" i="2"/>
  <c r="D316" i="2"/>
  <c r="I315" i="2"/>
  <c r="D315" i="2"/>
  <c r="I314" i="2"/>
  <c r="D314" i="2"/>
  <c r="I313" i="2"/>
  <c r="D313" i="2"/>
  <c r="D309" i="2"/>
  <c r="I308" i="2"/>
  <c r="D308" i="2"/>
  <c r="D307" i="2"/>
  <c r="I306" i="2"/>
  <c r="D306" i="2"/>
  <c r="I305" i="2"/>
  <c r="D305" i="2"/>
  <c r="I304" i="2"/>
  <c r="D304" i="2"/>
  <c r="I303" i="2"/>
  <c r="D303" i="2"/>
  <c r="I302" i="2"/>
  <c r="D302" i="2"/>
  <c r="I301" i="2"/>
  <c r="D301" i="2"/>
  <c r="I300" i="2"/>
  <c r="D300" i="2"/>
  <c r="I299" i="2"/>
  <c r="D299" i="2"/>
  <c r="D58" i="2" l="1"/>
  <c r="J58" i="2" s="1"/>
  <c r="M5" i="5" l="1"/>
  <c r="B5" i="5"/>
  <c r="A6" i="7"/>
  <c r="B164" i="1"/>
  <c r="C164" i="1" s="1"/>
  <c r="B163" i="1"/>
  <c r="C163" i="1" s="1"/>
  <c r="B162" i="1"/>
  <c r="C162" i="1" s="1"/>
  <c r="B161" i="1"/>
  <c r="C161" i="1" s="1"/>
  <c r="B160" i="1"/>
  <c r="C160" i="1" s="1"/>
  <c r="B159" i="1"/>
  <c r="C159" i="1" s="1"/>
  <c r="A59" i="4"/>
  <c r="D61" i="3" s="1"/>
  <c r="H59" i="4"/>
  <c r="B58" i="3"/>
  <c r="H63" i="3"/>
  <c r="H62" i="3"/>
  <c r="H52" i="4"/>
  <c r="G54" i="3" s="1"/>
  <c r="H54" i="3" s="1"/>
  <c r="A52" i="4"/>
  <c r="D54" i="3" s="1"/>
  <c r="B51" i="3"/>
  <c r="H56" i="3"/>
  <c r="H55" i="3"/>
  <c r="B44" i="3"/>
  <c r="H49" i="3"/>
  <c r="H48" i="3"/>
  <c r="H45" i="4"/>
  <c r="G47" i="3" s="1"/>
  <c r="H47" i="3" s="1"/>
  <c r="A45" i="4"/>
  <c r="D47" i="3" s="1"/>
  <c r="A38" i="4"/>
  <c r="D40" i="3" s="1"/>
  <c r="H38" i="4"/>
  <c r="G40" i="3" s="1"/>
  <c r="B37" i="3"/>
  <c r="H42" i="3"/>
  <c r="H41" i="3"/>
  <c r="H31" i="4"/>
  <c r="G33" i="3" s="1"/>
  <c r="H33" i="3" s="1"/>
  <c r="A31" i="4"/>
  <c r="D33" i="3" s="1"/>
  <c r="A24" i="4"/>
  <c r="D26" i="3" s="1"/>
  <c r="B147" i="1"/>
  <c r="C147" i="1" s="1"/>
  <c r="B144" i="1"/>
  <c r="C144" i="1" s="1"/>
  <c r="A17" i="4"/>
  <c r="D20" i="3" s="1"/>
  <c r="H24" i="4"/>
  <c r="G26" i="3" s="1"/>
  <c r="H26" i="3" s="1"/>
  <c r="H17" i="4"/>
  <c r="G20" i="3" s="1"/>
  <c r="H20" i="3" s="1"/>
  <c r="A10" i="4"/>
  <c r="D14" i="3" s="1"/>
  <c r="H10" i="4"/>
  <c r="G14" i="3" s="1"/>
  <c r="H14" i="3" s="1"/>
  <c r="F6" i="4"/>
  <c r="B6" i="4"/>
  <c r="B30" i="3"/>
  <c r="H35" i="3"/>
  <c r="H34" i="3"/>
  <c r="B23" i="3"/>
  <c r="H28" i="3"/>
  <c r="H27" i="3"/>
  <c r="B22" i="3"/>
  <c r="A22" i="3"/>
  <c r="B10" i="3"/>
  <c r="B9" i="3"/>
  <c r="A9" i="3"/>
  <c r="H19" i="3"/>
  <c r="H13" i="3"/>
  <c r="A6" i="3"/>
  <c r="H6" i="3"/>
  <c r="H57" i="3" l="1"/>
  <c r="H51" i="3" s="1"/>
  <c r="G163" i="1" s="1"/>
  <c r="G61" i="3"/>
  <c r="H61" i="3" s="1"/>
  <c r="H64" i="3" s="1"/>
  <c r="H58" i="3" s="1"/>
  <c r="G164" i="1" s="1"/>
  <c r="H29" i="3"/>
  <c r="H23" i="3" s="1"/>
  <c r="G159" i="1" s="1"/>
  <c r="H36" i="3"/>
  <c r="H30" i="3" s="1"/>
  <c r="G160" i="1" s="1"/>
  <c r="H50" i="3"/>
  <c r="H44" i="3" s="1"/>
  <c r="G162" i="1" s="1"/>
  <c r="H40" i="3"/>
  <c r="H15" i="3"/>
  <c r="H10" i="3" s="1"/>
  <c r="G144" i="1" s="1"/>
  <c r="H21" i="3"/>
  <c r="H16" i="3" s="1"/>
  <c r="G147" i="1" s="1"/>
  <c r="H43" i="3" l="1"/>
  <c r="H37" i="3" s="1"/>
  <c r="G161" i="1" s="1"/>
  <c r="B6" i="7"/>
  <c r="A1927" i="2" l="1"/>
  <c r="A1918" i="2"/>
  <c r="B1919" i="2"/>
  <c r="A1919" i="2"/>
  <c r="B1913" i="2"/>
  <c r="A1913" i="2"/>
  <c r="A1911" i="2"/>
  <c r="A1907" i="2"/>
  <c r="A1906" i="2"/>
  <c r="A1902" i="2"/>
  <c r="A1901" i="2"/>
  <c r="B1896" i="2"/>
  <c r="A1896" i="2"/>
  <c r="A1895" i="2"/>
  <c r="B1890" i="2"/>
  <c r="A1890" i="2"/>
  <c r="J1888" i="2"/>
  <c r="J1887" i="2"/>
  <c r="A1889" i="2"/>
  <c r="B1885" i="2"/>
  <c r="A1885" i="2"/>
  <c r="B1884" i="2"/>
  <c r="A1884" i="2"/>
  <c r="B1880" i="2"/>
  <c r="A1880" i="2"/>
  <c r="B1876" i="2"/>
  <c r="A1876" i="2"/>
  <c r="B2273" i="1"/>
  <c r="B1868" i="2"/>
  <c r="A1868" i="2"/>
  <c r="B1864" i="2"/>
  <c r="A1864" i="2"/>
  <c r="B1860" i="2"/>
  <c r="A1860" i="2"/>
  <c r="A1883" i="2"/>
  <c r="A1879" i="2"/>
  <c r="A1871" i="2"/>
  <c r="A1867" i="2"/>
  <c r="A1863" i="2"/>
  <c r="A1859" i="2"/>
  <c r="J1926" i="2"/>
  <c r="J1924" i="2"/>
  <c r="J1923" i="2"/>
  <c r="J1905" i="2"/>
  <c r="J1904" i="2"/>
  <c r="J1900" i="2"/>
  <c r="J1899" i="2"/>
  <c r="J1898" i="2"/>
  <c r="J1894" i="2"/>
  <c r="J1893" i="2"/>
  <c r="J1892" i="2"/>
  <c r="J1882" i="2"/>
  <c r="J1883" i="2" s="1"/>
  <c r="E173" i="1" s="1"/>
  <c r="J1878" i="2"/>
  <c r="J1879" i="2" s="1"/>
  <c r="J1870" i="2"/>
  <c r="J1871" i="2" s="1"/>
  <c r="B1856" i="2"/>
  <c r="A1856" i="2"/>
  <c r="B1851" i="2"/>
  <c r="A1851" i="2"/>
  <c r="A1847" i="2"/>
  <c r="B1847" i="2"/>
  <c r="B1843" i="2"/>
  <c r="A1843" i="2"/>
  <c r="B1839" i="2"/>
  <c r="A1839" i="2"/>
  <c r="A1835" i="2"/>
  <c r="B1835" i="2"/>
  <c r="B1831" i="2"/>
  <c r="A1831" i="2"/>
  <c r="A1827" i="2"/>
  <c r="B1827" i="2"/>
  <c r="B1823" i="2"/>
  <c r="A1823" i="2"/>
  <c r="B1819" i="2"/>
  <c r="A1819" i="2"/>
  <c r="A1815" i="2"/>
  <c r="B1815" i="2"/>
  <c r="B1811" i="2"/>
  <c r="A1811" i="2"/>
  <c r="B1807" i="2"/>
  <c r="A1807" i="2"/>
  <c r="A1803" i="2"/>
  <c r="B1803" i="2"/>
  <c r="B1799" i="2"/>
  <c r="A1799" i="2"/>
  <c r="A1854" i="2"/>
  <c r="A1850" i="2"/>
  <c r="A1846" i="2"/>
  <c r="A1842" i="2"/>
  <c r="A1838" i="2"/>
  <c r="A1834" i="2"/>
  <c r="A1830" i="2"/>
  <c r="A1826" i="2"/>
  <c r="A1822" i="2"/>
  <c r="A1818" i="2"/>
  <c r="A1814" i="2"/>
  <c r="A1810" i="2"/>
  <c r="A1806" i="2"/>
  <c r="A1802" i="2"/>
  <c r="J1849" i="2"/>
  <c r="J1850" i="2" s="1"/>
  <c r="J1845" i="2"/>
  <c r="J1846" i="2" s="1"/>
  <c r="J1841" i="2"/>
  <c r="J1842" i="2" s="1"/>
  <c r="A1798" i="2"/>
  <c r="B1795" i="2"/>
  <c r="A1795" i="2"/>
  <c r="A1793" i="2"/>
  <c r="A1789" i="2"/>
  <c r="A1785" i="2"/>
  <c r="A1781" i="2"/>
  <c r="B1790" i="2"/>
  <c r="A1790" i="2"/>
  <c r="A1786" i="2"/>
  <c r="B1786" i="2"/>
  <c r="B1782" i="2"/>
  <c r="A1782" i="2"/>
  <c r="A1778" i="2"/>
  <c r="B1778" i="2"/>
  <c r="B1777" i="2"/>
  <c r="A1777" i="2"/>
  <c r="A1776" i="2"/>
  <c r="B1773" i="2"/>
  <c r="A1773" i="2"/>
  <c r="B1772" i="2"/>
  <c r="A1772" i="2"/>
  <c r="A1771" i="2"/>
  <c r="A1768" i="2"/>
  <c r="B1768" i="2"/>
  <c r="B1767" i="2"/>
  <c r="A1767" i="2"/>
  <c r="B1763" i="2"/>
  <c r="A1763" i="2"/>
  <c r="A1759" i="2"/>
  <c r="B1759" i="2"/>
  <c r="B1755" i="2"/>
  <c r="A1755" i="2"/>
  <c r="A1751" i="2"/>
  <c r="B1751" i="2"/>
  <c r="B1747" i="2"/>
  <c r="A1747" i="2"/>
  <c r="A1743" i="2"/>
  <c r="B1743" i="2"/>
  <c r="B1739" i="2"/>
  <c r="A1739" i="2"/>
  <c r="A1735" i="2"/>
  <c r="B1735" i="2"/>
  <c r="B1731" i="2"/>
  <c r="A1731" i="2"/>
  <c r="A1766" i="2"/>
  <c r="A1762" i="2"/>
  <c r="A1758" i="2"/>
  <c r="A1754" i="2"/>
  <c r="A1750" i="2"/>
  <c r="A1746" i="2"/>
  <c r="A1742" i="2"/>
  <c r="A1738" i="2"/>
  <c r="A1734" i="2"/>
  <c r="B1727" i="2"/>
  <c r="A1727" i="2"/>
  <c r="A1730" i="2"/>
  <c r="A1722" i="2"/>
  <c r="B1719" i="2"/>
  <c r="A1719" i="2"/>
  <c r="B1714" i="2"/>
  <c r="A1714" i="2"/>
  <c r="A1709" i="2"/>
  <c r="B1709" i="2"/>
  <c r="B1700" i="2"/>
  <c r="A1700" i="2"/>
  <c r="A1718" i="2"/>
  <c r="A1713" i="2"/>
  <c r="A1708" i="2"/>
  <c r="A1699" i="2"/>
  <c r="B1696" i="2"/>
  <c r="A1696" i="2"/>
  <c r="A1695" i="2"/>
  <c r="B1690" i="2"/>
  <c r="A1690" i="2"/>
  <c r="A1689" i="2"/>
  <c r="B1684" i="2"/>
  <c r="A1684" i="2"/>
  <c r="J1669" i="2"/>
  <c r="A1683" i="2"/>
  <c r="B1680" i="2"/>
  <c r="A1680" i="2"/>
  <c r="A1679" i="2"/>
  <c r="B1676" i="2"/>
  <c r="A1676" i="2"/>
  <c r="A1675" i="2"/>
  <c r="B1672" i="2"/>
  <c r="A1672" i="2"/>
  <c r="B1671" i="2"/>
  <c r="A1671" i="2"/>
  <c r="A1670" i="2"/>
  <c r="B1666" i="2"/>
  <c r="A1666" i="2"/>
  <c r="J1664" i="2"/>
  <c r="J1663" i="2"/>
  <c r="A1665" i="2"/>
  <c r="B1661" i="2"/>
  <c r="A1661" i="2"/>
  <c r="A1660" i="2"/>
  <c r="J1645" i="2"/>
  <c r="J1646" i="2"/>
  <c r="J1647" i="2"/>
  <c r="J1648" i="2"/>
  <c r="J1649" i="2"/>
  <c r="J1650" i="2"/>
  <c r="J1651" i="2"/>
  <c r="J1652" i="2"/>
  <c r="J1653" i="2"/>
  <c r="J1654" i="2"/>
  <c r="J1655" i="2"/>
  <c r="J1656" i="2"/>
  <c r="J1657" i="2"/>
  <c r="J1658" i="2"/>
  <c r="J1659" i="2"/>
  <c r="J1644" i="2"/>
  <c r="B1642" i="2"/>
  <c r="A1642" i="2"/>
  <c r="A1641" i="2"/>
  <c r="J1626" i="2"/>
  <c r="J1627" i="2"/>
  <c r="J1628" i="2"/>
  <c r="J1629" i="2"/>
  <c r="J1630" i="2"/>
  <c r="J1631" i="2"/>
  <c r="J1632" i="2"/>
  <c r="J1633" i="2"/>
  <c r="J1634" i="2"/>
  <c r="J1635" i="2"/>
  <c r="J1636" i="2"/>
  <c r="J1637" i="2"/>
  <c r="J1638" i="2"/>
  <c r="J1639" i="2"/>
  <c r="J1640" i="2"/>
  <c r="J1625" i="2"/>
  <c r="B1623" i="2"/>
  <c r="A1623" i="2"/>
  <c r="A1622" i="2"/>
  <c r="J1607" i="2"/>
  <c r="J1608" i="2"/>
  <c r="J1609" i="2"/>
  <c r="J1610" i="2"/>
  <c r="J1611" i="2"/>
  <c r="J1612" i="2"/>
  <c r="J1613" i="2"/>
  <c r="J1614" i="2"/>
  <c r="J1615" i="2"/>
  <c r="J1616" i="2"/>
  <c r="J1617" i="2"/>
  <c r="J1618" i="2"/>
  <c r="J1619" i="2"/>
  <c r="J1620" i="2"/>
  <c r="J1621" i="2"/>
  <c r="J1606" i="2"/>
  <c r="B1604" i="2"/>
  <c r="A1604" i="2"/>
  <c r="A1603" i="2"/>
  <c r="J1587" i="2"/>
  <c r="J1588" i="2"/>
  <c r="J1589" i="2"/>
  <c r="J1590" i="2"/>
  <c r="J1591" i="2"/>
  <c r="J1592" i="2"/>
  <c r="J1593" i="2"/>
  <c r="J1594" i="2"/>
  <c r="J1595" i="2"/>
  <c r="J1596" i="2"/>
  <c r="J1597" i="2"/>
  <c r="J1598" i="2"/>
  <c r="J1599" i="2"/>
  <c r="J1600" i="2"/>
  <c r="J1601" i="2"/>
  <c r="J1586" i="2"/>
  <c r="B1584" i="2"/>
  <c r="A1584" i="2"/>
  <c r="J1568" i="2"/>
  <c r="J1569" i="2"/>
  <c r="J1570" i="2"/>
  <c r="J1571" i="2"/>
  <c r="J1572" i="2"/>
  <c r="J1573" i="2"/>
  <c r="J1574" i="2"/>
  <c r="J1575" i="2"/>
  <c r="J1576" i="2"/>
  <c r="J1577" i="2"/>
  <c r="J1578" i="2"/>
  <c r="J1579" i="2"/>
  <c r="J1580" i="2"/>
  <c r="J1581" i="2"/>
  <c r="J1582" i="2"/>
  <c r="J1549" i="2"/>
  <c r="J1550" i="2"/>
  <c r="J1551" i="2"/>
  <c r="J1552" i="2"/>
  <c r="J1553" i="2"/>
  <c r="J1554" i="2"/>
  <c r="J1555" i="2"/>
  <c r="J1556" i="2"/>
  <c r="J1557" i="2"/>
  <c r="J1558" i="2"/>
  <c r="J1559" i="2"/>
  <c r="J1560" i="2"/>
  <c r="J1561" i="2"/>
  <c r="J1562" i="2"/>
  <c r="J1563" i="2"/>
  <c r="J1567" i="2"/>
  <c r="J1548" i="2"/>
  <c r="A1583" i="2"/>
  <c r="B1565" i="2"/>
  <c r="A1565" i="2"/>
  <c r="A1564" i="2"/>
  <c r="B1546" i="2"/>
  <c r="A1546" i="2"/>
  <c r="A1545" i="2"/>
  <c r="J1530" i="2"/>
  <c r="J1531" i="2"/>
  <c r="J1532" i="2"/>
  <c r="J1533" i="2"/>
  <c r="J1534" i="2"/>
  <c r="J1535" i="2"/>
  <c r="J1536" i="2"/>
  <c r="J1537" i="2"/>
  <c r="J1538" i="2"/>
  <c r="J1539" i="2"/>
  <c r="J1540" i="2"/>
  <c r="J1541" i="2"/>
  <c r="J1542" i="2"/>
  <c r="J1543" i="2"/>
  <c r="J1544" i="2"/>
  <c r="J1529" i="2"/>
  <c r="B1527" i="2"/>
  <c r="A1527" i="2"/>
  <c r="J1521" i="2"/>
  <c r="A1526" i="2"/>
  <c r="J1511" i="2"/>
  <c r="J1512" i="2"/>
  <c r="J1513" i="2"/>
  <c r="J1514" i="2"/>
  <c r="J1515" i="2"/>
  <c r="J1516" i="2"/>
  <c r="J1517" i="2"/>
  <c r="J1518" i="2"/>
  <c r="J1519" i="2"/>
  <c r="J1520" i="2"/>
  <c r="J1522" i="2"/>
  <c r="J1523" i="2"/>
  <c r="J1524" i="2"/>
  <c r="J1525" i="2"/>
  <c r="J1510" i="2"/>
  <c r="B1508" i="2"/>
  <c r="A1508" i="2"/>
  <c r="A1507" i="2"/>
  <c r="J1492" i="2"/>
  <c r="J1493" i="2"/>
  <c r="J1494" i="2"/>
  <c r="J1495" i="2"/>
  <c r="J1496" i="2"/>
  <c r="J1497" i="2"/>
  <c r="J1498" i="2"/>
  <c r="J1499" i="2"/>
  <c r="J1500" i="2"/>
  <c r="J1501" i="2"/>
  <c r="J1502" i="2"/>
  <c r="J1503" i="2"/>
  <c r="J1504" i="2"/>
  <c r="J1505" i="2"/>
  <c r="J1506" i="2"/>
  <c r="J1491" i="2"/>
  <c r="B1489" i="2"/>
  <c r="A1489" i="2"/>
  <c r="A1488" i="2"/>
  <c r="J1473" i="2"/>
  <c r="J1474" i="2"/>
  <c r="J1475" i="2"/>
  <c r="J1476" i="2"/>
  <c r="J1477" i="2"/>
  <c r="J1478" i="2"/>
  <c r="J1479" i="2"/>
  <c r="J1480" i="2"/>
  <c r="J1481" i="2"/>
  <c r="J1482" i="2"/>
  <c r="J1483" i="2"/>
  <c r="J1484" i="2"/>
  <c r="J1485" i="2"/>
  <c r="J1486" i="2"/>
  <c r="J1487" i="2"/>
  <c r="J1472" i="2"/>
  <c r="B1470" i="2"/>
  <c r="A1470" i="2"/>
  <c r="A1469" i="2"/>
  <c r="J1454" i="2"/>
  <c r="J1455" i="2"/>
  <c r="J1456" i="2"/>
  <c r="J1457" i="2"/>
  <c r="J1458" i="2"/>
  <c r="J1459" i="2"/>
  <c r="J1460" i="2"/>
  <c r="J1461" i="2"/>
  <c r="J1462" i="2"/>
  <c r="J1463" i="2"/>
  <c r="J1464" i="2"/>
  <c r="J1465" i="2"/>
  <c r="J1466" i="2"/>
  <c r="J1467" i="2"/>
  <c r="J1468" i="2"/>
  <c r="J1453" i="2"/>
  <c r="B1451" i="2"/>
  <c r="A1451" i="2"/>
  <c r="B1450" i="2"/>
  <c r="A1450" i="2"/>
  <c r="A1449" i="2"/>
  <c r="J1428" i="2"/>
  <c r="J1429" i="2"/>
  <c r="J1430" i="2"/>
  <c r="J1431" i="2"/>
  <c r="J1432" i="2"/>
  <c r="J1433" i="2"/>
  <c r="J1434" i="2"/>
  <c r="J1435" i="2"/>
  <c r="J1436" i="2"/>
  <c r="J1437" i="2"/>
  <c r="J1438" i="2"/>
  <c r="J1439" i="2"/>
  <c r="J1440" i="2"/>
  <c r="J1441" i="2"/>
  <c r="J1442" i="2"/>
  <c r="J1443" i="2"/>
  <c r="J1444" i="2"/>
  <c r="J1445" i="2"/>
  <c r="J1446" i="2"/>
  <c r="J1447" i="2"/>
  <c r="J1448" i="2"/>
  <c r="J1399" i="2"/>
  <c r="J1400" i="2"/>
  <c r="J1401" i="2"/>
  <c r="J1402" i="2"/>
  <c r="J1403" i="2"/>
  <c r="J1404" i="2"/>
  <c r="J1405" i="2"/>
  <c r="J1406" i="2"/>
  <c r="J1407" i="2"/>
  <c r="J1408" i="2"/>
  <c r="J1409" i="2"/>
  <c r="J1410" i="2"/>
  <c r="J1411" i="2"/>
  <c r="J1412" i="2"/>
  <c r="J1413" i="2"/>
  <c r="J1414" i="2"/>
  <c r="J1415" i="2"/>
  <c r="J1416" i="2"/>
  <c r="J1417" i="2"/>
  <c r="J1418" i="2"/>
  <c r="J1419" i="2"/>
  <c r="J1420" i="2"/>
  <c r="J1421" i="2"/>
  <c r="J1422" i="2"/>
  <c r="J1423" i="2"/>
  <c r="J1424" i="2"/>
  <c r="J1425" i="2"/>
  <c r="J1426" i="2"/>
  <c r="J1427" i="2"/>
  <c r="J1398" i="2"/>
  <c r="B1396" i="2"/>
  <c r="A1396" i="2"/>
  <c r="A1395" i="2"/>
  <c r="J1393" i="2"/>
  <c r="J1394" i="2"/>
  <c r="J1365" i="2"/>
  <c r="J1366" i="2"/>
  <c r="J1367" i="2"/>
  <c r="J1368" i="2"/>
  <c r="J1369" i="2"/>
  <c r="J1370" i="2"/>
  <c r="J1371" i="2"/>
  <c r="J1372" i="2"/>
  <c r="J1373" i="2"/>
  <c r="J1374" i="2"/>
  <c r="J1375" i="2"/>
  <c r="J1376" i="2"/>
  <c r="J1377" i="2"/>
  <c r="J1378" i="2"/>
  <c r="J1379" i="2"/>
  <c r="J1380" i="2"/>
  <c r="J1381" i="2"/>
  <c r="J1382" i="2"/>
  <c r="J1383" i="2"/>
  <c r="J1384" i="2"/>
  <c r="J1385" i="2"/>
  <c r="J1386" i="2"/>
  <c r="J1387" i="2"/>
  <c r="J1388" i="2"/>
  <c r="J1389" i="2"/>
  <c r="J1390" i="2"/>
  <c r="J1391" i="2"/>
  <c r="J1392" i="2"/>
  <c r="J1364" i="2"/>
  <c r="B1362" i="2"/>
  <c r="A1362" i="2"/>
  <c r="A1361" i="2"/>
  <c r="J1342" i="2"/>
  <c r="J1343" i="2"/>
  <c r="J1344" i="2"/>
  <c r="J1346" i="2"/>
  <c r="J1347" i="2"/>
  <c r="J1348" i="2"/>
  <c r="J1349" i="2"/>
  <c r="J1351" i="2"/>
  <c r="J1352" i="2"/>
  <c r="J1353" i="2"/>
  <c r="J1354" i="2"/>
  <c r="J1356" i="2"/>
  <c r="J1357" i="2"/>
  <c r="J1358" i="2"/>
  <c r="J1359" i="2"/>
  <c r="J1341" i="2"/>
  <c r="B1339" i="2"/>
  <c r="A1339" i="2"/>
  <c r="A1338" i="2"/>
  <c r="J1329" i="2"/>
  <c r="J1307" i="2"/>
  <c r="J1311" i="2"/>
  <c r="J1317" i="2"/>
  <c r="J1321" i="2"/>
  <c r="J1325" i="2"/>
  <c r="J1281" i="2"/>
  <c r="J1285" i="2"/>
  <c r="J1289" i="2"/>
  <c r="J1293" i="2"/>
  <c r="J1299" i="2"/>
  <c r="J1303" i="2"/>
  <c r="J1263" i="2"/>
  <c r="J1267" i="2"/>
  <c r="J1271" i="2"/>
  <c r="J1275" i="2"/>
  <c r="B1258" i="2"/>
  <c r="A1258" i="2"/>
  <c r="J1889" i="2" l="1"/>
  <c r="J1545" i="2"/>
  <c r="J1901" i="2"/>
  <c r="J1395" i="2"/>
  <c r="J1507" i="2"/>
  <c r="J1895" i="2"/>
  <c r="J1906" i="2"/>
  <c r="J1641" i="2"/>
  <c r="J1449" i="2"/>
  <c r="J1469" i="2"/>
  <c r="J1622" i="2"/>
  <c r="J1583" i="2"/>
  <c r="J1526" i="2"/>
  <c r="J1488" i="2"/>
  <c r="J1603" i="2"/>
  <c r="J1660" i="2"/>
  <c r="J1665" i="2"/>
  <c r="A1257" i="2"/>
  <c r="J1208" i="2"/>
  <c r="J1212" i="2"/>
  <c r="J1218" i="2"/>
  <c r="J1222" i="2"/>
  <c r="J1226" i="2"/>
  <c r="J1230" i="2"/>
  <c r="J1236" i="2"/>
  <c r="J1240" i="2"/>
  <c r="J1244" i="2"/>
  <c r="J1248" i="2"/>
  <c r="J1182" i="2"/>
  <c r="J1186" i="2"/>
  <c r="J1190" i="2"/>
  <c r="J1194" i="2"/>
  <c r="J1200" i="2"/>
  <c r="J1204" i="2"/>
  <c r="B1177" i="2"/>
  <c r="A1177" i="2"/>
  <c r="B1176" i="2"/>
  <c r="A1176" i="2"/>
  <c r="A1175" i="2"/>
  <c r="J1153" i="2"/>
  <c r="J1154" i="2"/>
  <c r="J1155" i="2"/>
  <c r="J1156" i="2"/>
  <c r="J1157" i="2"/>
  <c r="J1158" i="2"/>
  <c r="J1159" i="2"/>
  <c r="J1160" i="2"/>
  <c r="J1161" i="2"/>
  <c r="J1162" i="2"/>
  <c r="J1163" i="2"/>
  <c r="J1164" i="2"/>
  <c r="J1165" i="2"/>
  <c r="J1166" i="2"/>
  <c r="J1167" i="2"/>
  <c r="J1168" i="2"/>
  <c r="J1169" i="2"/>
  <c r="J1170" i="2"/>
  <c r="J1171" i="2"/>
  <c r="J1172" i="2"/>
  <c r="J1173" i="2"/>
  <c r="J1174" i="2"/>
  <c r="J1125" i="2"/>
  <c r="J1126" i="2"/>
  <c r="J1127" i="2"/>
  <c r="J1128" i="2"/>
  <c r="J1129" i="2"/>
  <c r="J1130" i="2"/>
  <c r="J1131" i="2"/>
  <c r="J1132" i="2"/>
  <c r="J1133" i="2"/>
  <c r="J1134" i="2"/>
  <c r="J1135" i="2"/>
  <c r="J1136" i="2"/>
  <c r="J1137" i="2"/>
  <c r="J1138" i="2"/>
  <c r="J1139" i="2"/>
  <c r="J1140" i="2"/>
  <c r="J1141" i="2"/>
  <c r="J1142" i="2"/>
  <c r="J1143" i="2"/>
  <c r="J1144" i="2"/>
  <c r="J1145" i="2"/>
  <c r="J1146" i="2"/>
  <c r="J1147" i="2"/>
  <c r="J1148" i="2"/>
  <c r="J1149" i="2"/>
  <c r="J1150" i="2"/>
  <c r="J1151" i="2"/>
  <c r="J1152" i="2"/>
  <c r="J1124" i="2"/>
  <c r="B1122" i="2"/>
  <c r="A1122" i="2"/>
  <c r="A1121" i="2"/>
  <c r="J1118" i="2"/>
  <c r="J1119" i="2"/>
  <c r="J1120" i="2"/>
  <c r="J1103" i="2"/>
  <c r="J1104" i="2"/>
  <c r="J1105" i="2"/>
  <c r="J1106" i="2"/>
  <c r="J1107" i="2"/>
  <c r="J1108" i="2"/>
  <c r="J1109" i="2"/>
  <c r="J1110" i="2"/>
  <c r="J1111" i="2"/>
  <c r="J1112" i="2"/>
  <c r="J1113" i="2"/>
  <c r="J1114" i="2"/>
  <c r="J1115" i="2"/>
  <c r="J1116" i="2"/>
  <c r="J1117" i="2"/>
  <c r="J1102" i="2"/>
  <c r="B1100" i="2"/>
  <c r="A1100" i="2"/>
  <c r="J1087" i="2"/>
  <c r="J1088" i="2"/>
  <c r="J1089" i="2"/>
  <c r="J1090" i="2"/>
  <c r="J1091" i="2"/>
  <c r="J1092" i="2"/>
  <c r="J1093" i="2"/>
  <c r="J1094" i="2"/>
  <c r="J1095" i="2"/>
  <c r="J1096" i="2"/>
  <c r="J1097" i="2"/>
  <c r="J1098" i="2"/>
  <c r="J1068" i="2"/>
  <c r="J1069" i="2"/>
  <c r="J1070" i="2"/>
  <c r="J1071" i="2"/>
  <c r="J1072" i="2"/>
  <c r="J1073" i="2"/>
  <c r="J1074" i="2"/>
  <c r="J1075" i="2"/>
  <c r="J1076" i="2"/>
  <c r="J1077" i="2"/>
  <c r="J1078" i="2"/>
  <c r="J1079" i="2"/>
  <c r="J1080" i="2"/>
  <c r="J1081" i="2"/>
  <c r="J1082" i="2"/>
  <c r="J1083" i="2"/>
  <c r="J1084" i="2"/>
  <c r="J1085" i="2"/>
  <c r="J1086" i="2"/>
  <c r="J1067" i="2"/>
  <c r="A1099" i="2"/>
  <c r="B1065" i="2"/>
  <c r="A1065" i="2"/>
  <c r="A1064" i="2"/>
  <c r="B1061" i="2"/>
  <c r="A1061" i="2"/>
  <c r="J1063" i="2"/>
  <c r="J1064" i="2" s="1"/>
  <c r="A1060" i="2"/>
  <c r="J1046" i="2"/>
  <c r="J1047" i="2"/>
  <c r="J1048" i="2"/>
  <c r="J1049" i="2"/>
  <c r="J1050" i="2"/>
  <c r="J1051" i="2"/>
  <c r="J1052" i="2"/>
  <c r="J1053" i="2"/>
  <c r="J1054" i="2"/>
  <c r="J1055" i="2"/>
  <c r="J1056" i="2"/>
  <c r="J1057" i="2"/>
  <c r="J1058" i="2"/>
  <c r="J1059" i="2"/>
  <c r="J1045" i="2"/>
  <c r="B1043" i="2"/>
  <c r="A1043" i="2"/>
  <c r="J1027" i="2"/>
  <c r="J1030" i="2"/>
  <c r="J1031" i="2"/>
  <c r="J1032" i="2"/>
  <c r="J1033" i="2"/>
  <c r="J1034" i="2"/>
  <c r="J1035" i="2"/>
  <c r="J1036" i="2"/>
  <c r="J1037" i="2"/>
  <c r="J1038" i="2"/>
  <c r="J1039" i="2"/>
  <c r="J1040" i="2"/>
  <c r="J1041" i="2"/>
  <c r="J1026" i="2"/>
  <c r="A1042" i="2"/>
  <c r="B1024" i="2"/>
  <c r="A1024" i="2"/>
  <c r="B1023" i="2"/>
  <c r="A1023" i="2"/>
  <c r="J1007" i="2"/>
  <c r="J1008" i="2"/>
  <c r="J1009" i="2"/>
  <c r="J1010" i="2"/>
  <c r="J1011" i="2"/>
  <c r="J1012" i="2"/>
  <c r="J1013" i="2"/>
  <c r="J1014" i="2"/>
  <c r="J1015" i="2"/>
  <c r="J1016" i="2"/>
  <c r="J1017" i="2"/>
  <c r="J1018" i="2"/>
  <c r="J1019" i="2"/>
  <c r="J1020" i="2"/>
  <c r="J1021" i="2"/>
  <c r="J1006" i="2"/>
  <c r="A1022" i="2"/>
  <c r="B1004" i="2"/>
  <c r="A1004" i="2"/>
  <c r="J1002" i="2"/>
  <c r="J1003" i="2" s="1"/>
  <c r="A1003" i="2"/>
  <c r="B1000" i="2"/>
  <c r="A1000" i="2"/>
  <c r="A999" i="2"/>
  <c r="J998" i="2"/>
  <c r="J999" i="2" s="1"/>
  <c r="B996" i="2"/>
  <c r="A996" i="2"/>
  <c r="J994" i="2"/>
  <c r="J993" i="2"/>
  <c r="A995" i="2"/>
  <c r="B991" i="2"/>
  <c r="A991" i="2"/>
  <c r="A990" i="2"/>
  <c r="J989" i="2"/>
  <c r="J990" i="2" s="1"/>
  <c r="B987" i="2"/>
  <c r="A987" i="2"/>
  <c r="J972" i="2"/>
  <c r="J973" i="2"/>
  <c r="J974" i="2"/>
  <c r="J975" i="2"/>
  <c r="J976" i="2"/>
  <c r="J977" i="2"/>
  <c r="J978" i="2"/>
  <c r="J979" i="2"/>
  <c r="J980" i="2"/>
  <c r="J981" i="2"/>
  <c r="J982" i="2"/>
  <c r="J983" i="2"/>
  <c r="J984" i="2"/>
  <c r="J985" i="2"/>
  <c r="J971" i="2"/>
  <c r="A986" i="2"/>
  <c r="B969" i="2"/>
  <c r="A969" i="2"/>
  <c r="J953" i="2"/>
  <c r="J954" i="2"/>
  <c r="J955" i="2"/>
  <c r="J956" i="2"/>
  <c r="J957" i="2"/>
  <c r="J958" i="2"/>
  <c r="J959" i="2"/>
  <c r="J960" i="2"/>
  <c r="J961" i="2"/>
  <c r="J962" i="2"/>
  <c r="J963" i="2"/>
  <c r="J964" i="2"/>
  <c r="J965" i="2"/>
  <c r="J966" i="2"/>
  <c r="J967" i="2"/>
  <c r="J952" i="2"/>
  <c r="A968" i="2"/>
  <c r="B950" i="2"/>
  <c r="A950" i="2"/>
  <c r="A949" i="2"/>
  <c r="J934" i="2"/>
  <c r="J935" i="2"/>
  <c r="J936" i="2"/>
  <c r="J937" i="2"/>
  <c r="J938" i="2"/>
  <c r="J939" i="2"/>
  <c r="J940" i="2"/>
  <c r="J941" i="2"/>
  <c r="J942" i="2"/>
  <c r="J943" i="2"/>
  <c r="J944" i="2"/>
  <c r="J945" i="2"/>
  <c r="J946" i="2"/>
  <c r="J947" i="2"/>
  <c r="J948" i="2"/>
  <c r="J933" i="2"/>
  <c r="B931" i="2"/>
  <c r="A931" i="2"/>
  <c r="J915" i="2"/>
  <c r="J916" i="2"/>
  <c r="J917" i="2"/>
  <c r="J918" i="2"/>
  <c r="J919" i="2"/>
  <c r="J920" i="2"/>
  <c r="J921" i="2"/>
  <c r="J922" i="2"/>
  <c r="J923" i="2"/>
  <c r="J924" i="2"/>
  <c r="J925" i="2"/>
  <c r="J926" i="2"/>
  <c r="J927" i="2"/>
  <c r="J928" i="2"/>
  <c r="J929" i="2"/>
  <c r="J914" i="2"/>
  <c r="A930" i="2"/>
  <c r="B912" i="2"/>
  <c r="A912" i="2"/>
  <c r="A911" i="2"/>
  <c r="J896" i="2"/>
  <c r="J897" i="2"/>
  <c r="J898" i="2"/>
  <c r="J899" i="2"/>
  <c r="J900" i="2"/>
  <c r="J901" i="2"/>
  <c r="J902" i="2"/>
  <c r="J903" i="2"/>
  <c r="J904" i="2"/>
  <c r="J905" i="2"/>
  <c r="J906" i="2"/>
  <c r="J907" i="2"/>
  <c r="J908" i="2"/>
  <c r="J909" i="2"/>
  <c r="J910" i="2"/>
  <c r="J895" i="2"/>
  <c r="B893" i="2"/>
  <c r="A893" i="2"/>
  <c r="J877" i="2"/>
  <c r="J878" i="2"/>
  <c r="J879" i="2"/>
  <c r="J880" i="2"/>
  <c r="J881" i="2"/>
  <c r="J882" i="2"/>
  <c r="J883" i="2"/>
  <c r="J884" i="2"/>
  <c r="J885" i="2"/>
  <c r="J886" i="2"/>
  <c r="J887" i="2"/>
  <c r="J888" i="2"/>
  <c r="J889" i="2"/>
  <c r="J890" i="2"/>
  <c r="J891" i="2"/>
  <c r="J876" i="2"/>
  <c r="A892" i="2"/>
  <c r="B874" i="2"/>
  <c r="A874" i="2"/>
  <c r="A873" i="2"/>
  <c r="J858" i="2"/>
  <c r="J859" i="2"/>
  <c r="J860" i="2"/>
  <c r="J861" i="2"/>
  <c r="J862" i="2"/>
  <c r="J863" i="2"/>
  <c r="J864" i="2"/>
  <c r="J865" i="2"/>
  <c r="J866" i="2"/>
  <c r="J867" i="2"/>
  <c r="J868" i="2"/>
  <c r="J869" i="2"/>
  <c r="J870" i="2"/>
  <c r="J871" i="2"/>
  <c r="J872" i="2"/>
  <c r="J857" i="2"/>
  <c r="J995" i="2" l="1"/>
  <c r="J873" i="2"/>
  <c r="J1042" i="2"/>
  <c r="J1175" i="2"/>
  <c r="J949" i="2"/>
  <c r="J911" i="2"/>
  <c r="J930" i="2"/>
  <c r="J892" i="2"/>
  <c r="J1022" i="2"/>
  <c r="J1060" i="2"/>
  <c r="J1121" i="2"/>
  <c r="E88" i="1" s="1"/>
  <c r="J1099" i="2"/>
  <c r="J986" i="2"/>
  <c r="J968" i="2"/>
  <c r="B855" i="2"/>
  <c r="A855" i="2"/>
  <c r="A854" i="2"/>
  <c r="J853" i="2"/>
  <c r="J852" i="2"/>
  <c r="J851" i="2"/>
  <c r="J850" i="2"/>
  <c r="J849" i="2"/>
  <c r="J848" i="2"/>
  <c r="J847" i="2"/>
  <c r="J846" i="2"/>
  <c r="J845" i="2"/>
  <c r="J844" i="2"/>
  <c r="J843" i="2"/>
  <c r="J842" i="2"/>
  <c r="J841" i="2"/>
  <c r="J840" i="2"/>
  <c r="J839" i="2"/>
  <c r="J838" i="2"/>
  <c r="B836" i="2"/>
  <c r="A836" i="2"/>
  <c r="A835" i="2"/>
  <c r="J834" i="2"/>
  <c r="J835" i="2" s="1"/>
  <c r="B832" i="2"/>
  <c r="A832" i="2"/>
  <c r="A831" i="2"/>
  <c r="J817" i="2"/>
  <c r="J818" i="2"/>
  <c r="J819" i="2"/>
  <c r="J820" i="2"/>
  <c r="J821" i="2"/>
  <c r="J822" i="2"/>
  <c r="J823" i="2"/>
  <c r="J824" i="2"/>
  <c r="J825" i="2"/>
  <c r="J826" i="2"/>
  <c r="J827" i="2"/>
  <c r="J828" i="2"/>
  <c r="J829" i="2"/>
  <c r="J830" i="2"/>
  <c r="J816" i="2"/>
  <c r="B814" i="2"/>
  <c r="A814" i="2"/>
  <c r="B813" i="2"/>
  <c r="A813" i="2"/>
  <c r="A812" i="2"/>
  <c r="J801" i="2"/>
  <c r="J802" i="2"/>
  <c r="J803" i="2"/>
  <c r="J804" i="2"/>
  <c r="J805" i="2"/>
  <c r="J806" i="2"/>
  <c r="J807" i="2"/>
  <c r="J808" i="2"/>
  <c r="J809" i="2"/>
  <c r="J810" i="2"/>
  <c r="J811" i="2"/>
  <c r="J781" i="2"/>
  <c r="J782" i="2"/>
  <c r="J783" i="2"/>
  <c r="J784" i="2"/>
  <c r="J785" i="2"/>
  <c r="J786" i="2"/>
  <c r="J787" i="2"/>
  <c r="J788" i="2"/>
  <c r="J789" i="2"/>
  <c r="J790" i="2"/>
  <c r="J791" i="2"/>
  <c r="J792" i="2"/>
  <c r="J793" i="2"/>
  <c r="J794" i="2"/>
  <c r="J795" i="2"/>
  <c r="J796" i="2"/>
  <c r="J797" i="2"/>
  <c r="J798" i="2"/>
  <c r="J799" i="2"/>
  <c r="J800" i="2"/>
  <c r="J780" i="2"/>
  <c r="A778" i="2"/>
  <c r="B778" i="2"/>
  <c r="A777" i="2"/>
  <c r="J762" i="2"/>
  <c r="J763" i="2"/>
  <c r="J764" i="2"/>
  <c r="J765" i="2"/>
  <c r="J766" i="2"/>
  <c r="J767" i="2"/>
  <c r="J768" i="2"/>
  <c r="J769" i="2"/>
  <c r="J770" i="2"/>
  <c r="J771" i="2"/>
  <c r="J772" i="2"/>
  <c r="J773" i="2"/>
  <c r="J774" i="2"/>
  <c r="J775" i="2"/>
  <c r="J776" i="2"/>
  <c r="J761" i="2"/>
  <c r="B759" i="2"/>
  <c r="A759" i="2"/>
  <c r="A758" i="2"/>
  <c r="J743" i="2"/>
  <c r="J744" i="2"/>
  <c r="J745" i="2"/>
  <c r="J746" i="2"/>
  <c r="J747" i="2"/>
  <c r="J748" i="2"/>
  <c r="J749" i="2"/>
  <c r="J750" i="2"/>
  <c r="J751" i="2"/>
  <c r="J752" i="2"/>
  <c r="J753" i="2"/>
  <c r="J754" i="2"/>
  <c r="J755" i="2"/>
  <c r="J756" i="2"/>
  <c r="J757" i="2"/>
  <c r="J742" i="2"/>
  <c r="B739" i="2"/>
  <c r="A739" i="2"/>
  <c r="B738" i="2"/>
  <c r="A738" i="2"/>
  <c r="A737" i="2"/>
  <c r="J732" i="2"/>
  <c r="J733" i="2"/>
  <c r="J734" i="2"/>
  <c r="J735" i="2"/>
  <c r="J718" i="2"/>
  <c r="J719" i="2"/>
  <c r="J720" i="2"/>
  <c r="J722" i="2"/>
  <c r="J723" i="2"/>
  <c r="J724" i="2"/>
  <c r="J725" i="2"/>
  <c r="J727" i="2"/>
  <c r="J728" i="2"/>
  <c r="J729" i="2"/>
  <c r="J730" i="2"/>
  <c r="J717" i="2"/>
  <c r="B715" i="2"/>
  <c r="A715" i="2"/>
  <c r="A714" i="2"/>
  <c r="B660" i="2"/>
  <c r="A660" i="2"/>
  <c r="A659" i="2"/>
  <c r="B651" i="2"/>
  <c r="A651" i="2"/>
  <c r="A650" i="2"/>
  <c r="B616" i="2"/>
  <c r="A616" i="2"/>
  <c r="A615" i="2"/>
  <c r="B575" i="2"/>
  <c r="A575" i="2"/>
  <c r="A574" i="2"/>
  <c r="J561" i="2"/>
  <c r="J562" i="2"/>
  <c r="J563" i="2"/>
  <c r="J564" i="2"/>
  <c r="J565" i="2"/>
  <c r="J566" i="2"/>
  <c r="J567" i="2"/>
  <c r="J568" i="2"/>
  <c r="J569" i="2"/>
  <c r="J570" i="2"/>
  <c r="J571" i="2"/>
  <c r="J572" i="2"/>
  <c r="J573" i="2"/>
  <c r="J541" i="2"/>
  <c r="J542" i="2"/>
  <c r="J543" i="2"/>
  <c r="J544" i="2"/>
  <c r="J545" i="2"/>
  <c r="J546" i="2"/>
  <c r="J547" i="2"/>
  <c r="J548" i="2"/>
  <c r="J549" i="2"/>
  <c r="J550" i="2"/>
  <c r="J551" i="2"/>
  <c r="J552" i="2"/>
  <c r="J553" i="2"/>
  <c r="J554" i="2"/>
  <c r="J555" i="2"/>
  <c r="J556" i="2"/>
  <c r="J557" i="2"/>
  <c r="J558" i="2"/>
  <c r="J559" i="2"/>
  <c r="J560" i="2"/>
  <c r="J540" i="2"/>
  <c r="J531" i="2"/>
  <c r="J532" i="2"/>
  <c r="J533" i="2"/>
  <c r="J534" i="2"/>
  <c r="J535" i="2"/>
  <c r="J536" i="2"/>
  <c r="J506" i="2"/>
  <c r="J507" i="2"/>
  <c r="J508" i="2"/>
  <c r="J509" i="2"/>
  <c r="J510" i="2"/>
  <c r="J511" i="2"/>
  <c r="J512" i="2"/>
  <c r="J513" i="2"/>
  <c r="J514" i="2"/>
  <c r="J515" i="2"/>
  <c r="J516" i="2"/>
  <c r="J517" i="2"/>
  <c r="J518" i="2"/>
  <c r="J519" i="2"/>
  <c r="J520" i="2"/>
  <c r="J521" i="2"/>
  <c r="J522" i="2"/>
  <c r="J523" i="2"/>
  <c r="J524" i="2"/>
  <c r="J525" i="2"/>
  <c r="J526" i="2"/>
  <c r="J527" i="2"/>
  <c r="J528" i="2"/>
  <c r="J529" i="2"/>
  <c r="J530" i="2"/>
  <c r="J505" i="2"/>
  <c r="B538" i="2"/>
  <c r="A538" i="2"/>
  <c r="B413" i="2"/>
  <c r="A413" i="2"/>
  <c r="A467" i="2"/>
  <c r="H406" i="2"/>
  <c r="J406" i="2" s="1"/>
  <c r="A412" i="2"/>
  <c r="J409" i="2"/>
  <c r="J410" i="2"/>
  <c r="J411" i="2"/>
  <c r="J393" i="2"/>
  <c r="J394" i="2"/>
  <c r="J395" i="2"/>
  <c r="J397" i="2"/>
  <c r="J398" i="2"/>
  <c r="J399" i="2"/>
  <c r="J400" i="2"/>
  <c r="J402" i="2"/>
  <c r="J403" i="2"/>
  <c r="J404" i="2"/>
  <c r="J405" i="2"/>
  <c r="J407" i="2"/>
  <c r="J408" i="2"/>
  <c r="J392" i="2"/>
  <c r="B390" i="2"/>
  <c r="A390" i="2"/>
  <c r="A389" i="2"/>
  <c r="J387" i="2"/>
  <c r="J370" i="2"/>
  <c r="J371" i="2"/>
  <c r="J372" i="2"/>
  <c r="J374" i="2"/>
  <c r="J375" i="2"/>
  <c r="J376" i="2"/>
  <c r="J377" i="2"/>
  <c r="J379" i="2"/>
  <c r="J380" i="2"/>
  <c r="J381" i="2"/>
  <c r="J382" i="2"/>
  <c r="J384" i="2"/>
  <c r="J385" i="2"/>
  <c r="J386" i="2"/>
  <c r="J369" i="2"/>
  <c r="A367" i="2"/>
  <c r="A366" i="2"/>
  <c r="J350" i="2"/>
  <c r="J351" i="2"/>
  <c r="J352" i="2"/>
  <c r="J353" i="2"/>
  <c r="J354" i="2"/>
  <c r="J355" i="2"/>
  <c r="J356" i="2"/>
  <c r="J357" i="2"/>
  <c r="J358" i="2"/>
  <c r="J359" i="2"/>
  <c r="J360" i="2"/>
  <c r="J362" i="2"/>
  <c r="J363" i="2"/>
  <c r="J364" i="2"/>
  <c r="J365" i="2"/>
  <c r="J327" i="2"/>
  <c r="J328" i="2"/>
  <c r="J329" i="2"/>
  <c r="J330" i="2"/>
  <c r="J331" i="2"/>
  <c r="J332" i="2"/>
  <c r="J333" i="2"/>
  <c r="J334" i="2"/>
  <c r="J335" i="2"/>
  <c r="J336" i="2"/>
  <c r="J337" i="2"/>
  <c r="J338" i="2"/>
  <c r="J339" i="2"/>
  <c r="J340" i="2"/>
  <c r="J341" i="2"/>
  <c r="J342" i="2"/>
  <c r="J343" i="2"/>
  <c r="J344" i="2"/>
  <c r="J345" i="2"/>
  <c r="J346" i="2"/>
  <c r="J347" i="2"/>
  <c r="J348" i="2"/>
  <c r="J349" i="2"/>
  <c r="J326" i="2"/>
  <c r="J777" i="2" l="1"/>
  <c r="J831" i="2"/>
  <c r="J574" i="2"/>
  <c r="J758" i="2"/>
  <c r="J812" i="2"/>
  <c r="J854" i="2"/>
  <c r="B49" i="5" l="1"/>
  <c r="B47" i="5"/>
  <c r="B45" i="5"/>
  <c r="B43" i="5"/>
  <c r="B41" i="5"/>
  <c r="B39" i="5"/>
  <c r="B37" i="5"/>
  <c r="B35" i="5"/>
  <c r="B33" i="5"/>
  <c r="B31" i="5"/>
  <c r="B29" i="5"/>
  <c r="B27" i="5"/>
  <c r="B25" i="5"/>
  <c r="B23" i="5"/>
  <c r="B21" i="5"/>
  <c r="B19" i="5"/>
  <c r="B17" i="5"/>
  <c r="B13" i="5"/>
  <c r="B9" i="5"/>
  <c r="A38" i="7"/>
  <c r="A34" i="7"/>
  <c r="L29" i="7"/>
  <c r="J24" i="7"/>
  <c r="J27" i="7" s="1"/>
  <c r="H6" i="1" s="1"/>
  <c r="H159" i="1" s="1"/>
  <c r="A22" i="7"/>
  <c r="A21" i="7"/>
  <c r="A20" i="7"/>
  <c r="A19" i="7"/>
  <c r="A18" i="7"/>
  <c r="A5" i="7"/>
  <c r="A4" i="7"/>
  <c r="D50" i="6"/>
  <c r="C50" i="6"/>
  <c r="C49" i="6"/>
  <c r="F49" i="6" s="1"/>
  <c r="D48" i="6"/>
  <c r="C48" i="6"/>
  <c r="C47" i="6"/>
  <c r="F47" i="6" s="1"/>
  <c r="C46" i="6"/>
  <c r="F46" i="6" s="1"/>
  <c r="C45" i="6"/>
  <c r="F45" i="6" s="1"/>
  <c r="E44" i="6"/>
  <c r="C44" i="6"/>
  <c r="D41" i="6"/>
  <c r="C41" i="6"/>
  <c r="F41" i="6" s="1"/>
  <c r="C40" i="6"/>
  <c r="F40" i="6" s="1"/>
  <c r="D39" i="6"/>
  <c r="C39" i="6"/>
  <c r="C38" i="6"/>
  <c r="F38" i="6" s="1"/>
  <c r="C37" i="6"/>
  <c r="F37" i="6" s="1"/>
  <c r="C36" i="6"/>
  <c r="F36" i="6" s="1"/>
  <c r="E35" i="6"/>
  <c r="C35" i="6"/>
  <c r="E31" i="6"/>
  <c r="G31" i="6" s="1"/>
  <c r="E30" i="6"/>
  <c r="G30" i="6" s="1"/>
  <c r="E29" i="6"/>
  <c r="G29" i="6" s="1"/>
  <c r="G28" i="6"/>
  <c r="G27" i="6"/>
  <c r="G26" i="6"/>
  <c r="G25" i="6"/>
  <c r="E24" i="6"/>
  <c r="G24" i="6" s="1"/>
  <c r="E23" i="6"/>
  <c r="G23" i="6" s="1"/>
  <c r="G22" i="6"/>
  <c r="E21" i="6"/>
  <c r="G21" i="6" s="1"/>
  <c r="E20" i="6"/>
  <c r="G20" i="6" s="1"/>
  <c r="E19" i="6"/>
  <c r="G19" i="6" s="1"/>
  <c r="G16" i="6"/>
  <c r="G15" i="6"/>
  <c r="E14" i="6"/>
  <c r="G14" i="6" s="1"/>
  <c r="G13" i="6"/>
  <c r="G12" i="6"/>
  <c r="G11" i="6"/>
  <c r="E10" i="6"/>
  <c r="G10" i="6" s="1"/>
  <c r="E9" i="6"/>
  <c r="G9" i="6" s="1"/>
  <c r="E8" i="6"/>
  <c r="G8" i="6" s="1"/>
  <c r="E7" i="6"/>
  <c r="G7" i="6" s="1"/>
  <c r="E6" i="6"/>
  <c r="G6" i="6" s="1"/>
  <c r="E5" i="6"/>
  <c r="G5" i="6" s="1"/>
  <c r="E4" i="6"/>
  <c r="G4" i="6" s="1"/>
  <c r="E1925" i="2"/>
  <c r="J1925" i="2" s="1"/>
  <c r="D1922" i="2"/>
  <c r="J1922" i="2" s="1"/>
  <c r="D1921" i="2"/>
  <c r="J1921" i="2" s="1"/>
  <c r="D1917" i="2"/>
  <c r="J1917" i="2" s="1"/>
  <c r="D1916" i="2"/>
  <c r="J1916" i="2" s="1"/>
  <c r="D1915" i="2"/>
  <c r="J1915" i="2" s="1"/>
  <c r="D1910" i="2"/>
  <c r="J1910" i="2" s="1"/>
  <c r="D1909" i="2"/>
  <c r="J1909" i="2" s="1"/>
  <c r="E177" i="1"/>
  <c r="E176" i="1"/>
  <c r="J1866" i="2"/>
  <c r="J1867" i="2" s="1"/>
  <c r="E169" i="1" s="1"/>
  <c r="J1862" i="2"/>
  <c r="J1863" i="2" s="1"/>
  <c r="E168" i="1" s="1"/>
  <c r="J1858" i="2"/>
  <c r="J1859" i="2" s="1"/>
  <c r="E167" i="1" s="1"/>
  <c r="J1853" i="2"/>
  <c r="J1854" i="2" s="1"/>
  <c r="E164" i="1" s="1"/>
  <c r="J1837" i="2"/>
  <c r="J1838" i="2" s="1"/>
  <c r="E160" i="1" s="1"/>
  <c r="J1833" i="2"/>
  <c r="J1834" i="2" s="1"/>
  <c r="E159" i="1" s="1"/>
  <c r="J1829" i="2"/>
  <c r="J1830" i="2" s="1"/>
  <c r="E158" i="1" s="1"/>
  <c r="J1825" i="2"/>
  <c r="J1826" i="2" s="1"/>
  <c r="E157" i="1" s="1"/>
  <c r="J1821" i="2"/>
  <c r="J1822" i="2" s="1"/>
  <c r="E156" i="1" s="1"/>
  <c r="J1817" i="2"/>
  <c r="J1818" i="2" s="1"/>
  <c r="E155" i="1" s="1"/>
  <c r="J1813" i="2"/>
  <c r="J1814" i="2" s="1"/>
  <c r="E154" i="1" s="1"/>
  <c r="J1809" i="2"/>
  <c r="J1810" i="2" s="1"/>
  <c r="E153" i="1" s="1"/>
  <c r="J1805" i="2"/>
  <c r="J1806" i="2" s="1"/>
  <c r="E152" i="1" s="1"/>
  <c r="J1801" i="2"/>
  <c r="J1802" i="2" s="1"/>
  <c r="E151" i="1" s="1"/>
  <c r="J1797" i="2"/>
  <c r="J1798" i="2" s="1"/>
  <c r="E150" i="1" s="1"/>
  <c r="J1792" i="2"/>
  <c r="J1793" i="2" s="1"/>
  <c r="E147" i="1" s="1"/>
  <c r="J1788" i="2"/>
  <c r="J1789" i="2" s="1"/>
  <c r="E146" i="1" s="1"/>
  <c r="J1784" i="2"/>
  <c r="J1785" i="2" s="1"/>
  <c r="E145" i="1" s="1"/>
  <c r="J1780" i="2"/>
  <c r="J1781" i="2" s="1"/>
  <c r="E144" i="1" s="1"/>
  <c r="J1775" i="2"/>
  <c r="J1776" i="2" s="1"/>
  <c r="E140" i="1" s="1"/>
  <c r="J1770" i="2"/>
  <c r="J1771" i="2" s="1"/>
  <c r="E137" i="1" s="1"/>
  <c r="J1765" i="2"/>
  <c r="J1766" i="2" s="1"/>
  <c r="G1761" i="2"/>
  <c r="J1761" i="2" s="1"/>
  <c r="J1762" i="2" s="1"/>
  <c r="E133" i="1" s="1"/>
  <c r="J1757" i="2"/>
  <c r="J1758" i="2" s="1"/>
  <c r="E132" i="1" s="1"/>
  <c r="J1753" i="2"/>
  <c r="J1754" i="2" s="1"/>
  <c r="E131" i="1" s="1"/>
  <c r="J1749" i="2"/>
  <c r="J1750" i="2" s="1"/>
  <c r="E130" i="1" s="1"/>
  <c r="J1745" i="2"/>
  <c r="J1746" i="2" s="1"/>
  <c r="E129" i="1" s="1"/>
  <c r="J1741" i="2"/>
  <c r="J1742" i="2" s="1"/>
  <c r="E128" i="1" s="1"/>
  <c r="J1737" i="2"/>
  <c r="J1738" i="2" s="1"/>
  <c r="E127" i="1" s="1"/>
  <c r="J1733" i="2"/>
  <c r="J1734" i="2" s="1"/>
  <c r="E126" i="1" s="1"/>
  <c r="J1729" i="2"/>
  <c r="J1730" i="2" s="1"/>
  <c r="E125" i="1" s="1"/>
  <c r="J1721" i="2"/>
  <c r="J1722" i="2" s="1"/>
  <c r="E123" i="1" s="1"/>
  <c r="E122" i="1"/>
  <c r="E121" i="1"/>
  <c r="J1702" i="2"/>
  <c r="J1698" i="2"/>
  <c r="J1699" i="2" s="1"/>
  <c r="E119" i="1" s="1"/>
  <c r="J1692" i="2"/>
  <c r="J1686" i="2"/>
  <c r="J1682" i="2"/>
  <c r="J1683" i="2" s="1"/>
  <c r="E116" i="1" s="1"/>
  <c r="J1678" i="2"/>
  <c r="J1679" i="2" s="1"/>
  <c r="E115" i="1" s="1"/>
  <c r="J1674" i="2"/>
  <c r="J1675" i="2" s="1"/>
  <c r="E114" i="1" s="1"/>
  <c r="J1668" i="2"/>
  <c r="J1670" i="2" s="1"/>
  <c r="E111" i="1" s="1"/>
  <c r="E110" i="1"/>
  <c r="E109" i="1"/>
  <c r="E108" i="1"/>
  <c r="E107" i="1"/>
  <c r="E105" i="1"/>
  <c r="E102" i="1"/>
  <c r="E101" i="1"/>
  <c r="E100" i="1"/>
  <c r="E99" i="1"/>
  <c r="E96" i="1"/>
  <c r="E95" i="1"/>
  <c r="H1360" i="2"/>
  <c r="J1360" i="2" s="1"/>
  <c r="H1355" i="2"/>
  <c r="J1355" i="2" s="1"/>
  <c r="H1350" i="2"/>
  <c r="J1350" i="2" s="1"/>
  <c r="H1345" i="2"/>
  <c r="J1345" i="2" s="1"/>
  <c r="D1337" i="2"/>
  <c r="D1336" i="2"/>
  <c r="J1336" i="2" s="1"/>
  <c r="D1335" i="2"/>
  <c r="D1334" i="2"/>
  <c r="J1334" i="2" s="1"/>
  <c r="D1333" i="2"/>
  <c r="J1333" i="2" s="1"/>
  <c r="D1332" i="2"/>
  <c r="J1332" i="2" s="1"/>
  <c r="D1331" i="2"/>
  <c r="H1330" i="2"/>
  <c r="J1330" i="2" s="1"/>
  <c r="D1328" i="2"/>
  <c r="D1327" i="2"/>
  <c r="D1326" i="2"/>
  <c r="D1324" i="2"/>
  <c r="D1323" i="2"/>
  <c r="D1322" i="2"/>
  <c r="D1320" i="2"/>
  <c r="D1319" i="2"/>
  <c r="D1318" i="2"/>
  <c r="D1316" i="2"/>
  <c r="D1315" i="2"/>
  <c r="D1314" i="2"/>
  <c r="D1313" i="2"/>
  <c r="H1312" i="2"/>
  <c r="J1312" i="2" s="1"/>
  <c r="D1310" i="2"/>
  <c r="D1309" i="2"/>
  <c r="D1308" i="2"/>
  <c r="D1306" i="2"/>
  <c r="D1305" i="2"/>
  <c r="D1304" i="2"/>
  <c r="D1302" i="2"/>
  <c r="D1301" i="2"/>
  <c r="D1300" i="2"/>
  <c r="D1298" i="2"/>
  <c r="D1297" i="2"/>
  <c r="D1296" i="2"/>
  <c r="D1295" i="2"/>
  <c r="H1294" i="2"/>
  <c r="J1294" i="2" s="1"/>
  <c r="D1292" i="2"/>
  <c r="D1291" i="2"/>
  <c r="D1290" i="2"/>
  <c r="D1288" i="2"/>
  <c r="D1287" i="2"/>
  <c r="D1286" i="2"/>
  <c r="D1284" i="2"/>
  <c r="D1283" i="2"/>
  <c r="D1282" i="2"/>
  <c r="D1280" i="2"/>
  <c r="D1279" i="2"/>
  <c r="D1278" i="2"/>
  <c r="D1277" i="2"/>
  <c r="H1276" i="2"/>
  <c r="J1276" i="2" s="1"/>
  <c r="D1274" i="2"/>
  <c r="D1273" i="2"/>
  <c r="D1272" i="2"/>
  <c r="D1270" i="2"/>
  <c r="D1269" i="2"/>
  <c r="D1268" i="2"/>
  <c r="D1266" i="2"/>
  <c r="D1265" i="2"/>
  <c r="D1264" i="2"/>
  <c r="D1262" i="2"/>
  <c r="D1261" i="2"/>
  <c r="D1260" i="2"/>
  <c r="J1255" i="2"/>
  <c r="J1253" i="2"/>
  <c r="J1252" i="2"/>
  <c r="J1251" i="2"/>
  <c r="D1247" i="2"/>
  <c r="D1246" i="2"/>
  <c r="D1245" i="2"/>
  <c r="D1243" i="2"/>
  <c r="D1242" i="2"/>
  <c r="D1241" i="2"/>
  <c r="D1239" i="2"/>
  <c r="D1238" i="2"/>
  <c r="D1237" i="2"/>
  <c r="D1235" i="2"/>
  <c r="D1234" i="2"/>
  <c r="D1233" i="2"/>
  <c r="D1232" i="2"/>
  <c r="H1231" i="2"/>
  <c r="J1231" i="2" s="1"/>
  <c r="D1229" i="2"/>
  <c r="D1228" i="2"/>
  <c r="D1227" i="2"/>
  <c r="D1225" i="2"/>
  <c r="D1224" i="2"/>
  <c r="D1223" i="2"/>
  <c r="D1221" i="2"/>
  <c r="D1220" i="2"/>
  <c r="D1219" i="2"/>
  <c r="D1217" i="2"/>
  <c r="D1216" i="2"/>
  <c r="D1215" i="2"/>
  <c r="D1214" i="2"/>
  <c r="H1213" i="2"/>
  <c r="J1213" i="2" s="1"/>
  <c r="D1211" i="2"/>
  <c r="D1210" i="2"/>
  <c r="D1209" i="2"/>
  <c r="D1207" i="2"/>
  <c r="D1206" i="2"/>
  <c r="D1205" i="2"/>
  <c r="D1203" i="2"/>
  <c r="D1202" i="2"/>
  <c r="D1201" i="2"/>
  <c r="D1199" i="2"/>
  <c r="D1198" i="2"/>
  <c r="D1197" i="2"/>
  <c r="D1196" i="2"/>
  <c r="H1195" i="2"/>
  <c r="J1195" i="2" s="1"/>
  <c r="D1193" i="2"/>
  <c r="D1192" i="2"/>
  <c r="D1191" i="2"/>
  <c r="D1189" i="2"/>
  <c r="D1188" i="2"/>
  <c r="D1187" i="2"/>
  <c r="D1185" i="2"/>
  <c r="D1184" i="2"/>
  <c r="D1183" i="2"/>
  <c r="D1181" i="2"/>
  <c r="D1180" i="2"/>
  <c r="D1179" i="2"/>
  <c r="E89" i="1"/>
  <c r="E86" i="1"/>
  <c r="E85" i="1"/>
  <c r="E79" i="1"/>
  <c r="E75" i="1"/>
  <c r="E72" i="1"/>
  <c r="E71" i="1"/>
  <c r="E70" i="1"/>
  <c r="E69" i="1"/>
  <c r="E68" i="1"/>
  <c r="E67" i="1"/>
  <c r="E64" i="1"/>
  <c r="E63" i="1"/>
  <c r="E62" i="1"/>
  <c r="H736" i="2"/>
  <c r="J736" i="2" s="1"/>
  <c r="H731" i="2"/>
  <c r="J731" i="2" s="1"/>
  <c r="H726" i="2"/>
  <c r="J726" i="2" s="1"/>
  <c r="H721" i="2"/>
  <c r="J721" i="2" s="1"/>
  <c r="D713" i="2"/>
  <c r="D712" i="2"/>
  <c r="D711" i="2"/>
  <c r="D710" i="2"/>
  <c r="D709" i="2"/>
  <c r="D708" i="2"/>
  <c r="D707" i="2"/>
  <c r="D706" i="2"/>
  <c r="D705" i="2"/>
  <c r="D704" i="2"/>
  <c r="D703" i="2"/>
  <c r="D702" i="2"/>
  <c r="D701" i="2"/>
  <c r="D700" i="2"/>
  <c r="D699" i="2"/>
  <c r="D698" i="2"/>
  <c r="D697" i="2"/>
  <c r="D696" i="2"/>
  <c r="D695" i="2"/>
  <c r="D694" i="2"/>
  <c r="D693" i="2"/>
  <c r="D692" i="2"/>
  <c r="D691" i="2"/>
  <c r="D690" i="2"/>
  <c r="D689" i="2"/>
  <c r="D688" i="2"/>
  <c r="D687" i="2"/>
  <c r="D686" i="2"/>
  <c r="D685" i="2"/>
  <c r="D684" i="2"/>
  <c r="D683" i="2"/>
  <c r="D682" i="2"/>
  <c r="D681" i="2"/>
  <c r="D680" i="2"/>
  <c r="D679" i="2"/>
  <c r="D678" i="2"/>
  <c r="D677" i="2"/>
  <c r="D676" i="2"/>
  <c r="D675" i="2"/>
  <c r="D674" i="2"/>
  <c r="D673" i="2"/>
  <c r="D672" i="2"/>
  <c r="D671" i="2"/>
  <c r="D670" i="2"/>
  <c r="D669" i="2"/>
  <c r="D668" i="2"/>
  <c r="D667" i="2"/>
  <c r="D666" i="2"/>
  <c r="D665" i="2"/>
  <c r="D664" i="2"/>
  <c r="D663" i="2"/>
  <c r="D662" i="2"/>
  <c r="D658" i="2"/>
  <c r="D657" i="2"/>
  <c r="J657" i="2" s="1"/>
  <c r="D656" i="2"/>
  <c r="D655" i="2"/>
  <c r="J655" i="2" s="1"/>
  <c r="D654" i="2"/>
  <c r="J654" i="2" s="1"/>
  <c r="D653" i="2"/>
  <c r="J653" i="2" s="1"/>
  <c r="D649" i="2"/>
  <c r="D648" i="2"/>
  <c r="D647" i="2"/>
  <c r="D646" i="2"/>
  <c r="D645" i="2"/>
  <c r="D644" i="2"/>
  <c r="D643" i="2"/>
  <c r="D642" i="2"/>
  <c r="D641" i="2"/>
  <c r="D640" i="2"/>
  <c r="D639" i="2"/>
  <c r="D638" i="2"/>
  <c r="D637" i="2"/>
  <c r="D636" i="2"/>
  <c r="D635" i="2"/>
  <c r="D634" i="2"/>
  <c r="D633" i="2"/>
  <c r="D632" i="2"/>
  <c r="D631" i="2"/>
  <c r="D630" i="2"/>
  <c r="D629" i="2"/>
  <c r="D628" i="2"/>
  <c r="D627" i="2"/>
  <c r="D626" i="2"/>
  <c r="D625" i="2"/>
  <c r="D624" i="2"/>
  <c r="D623" i="2"/>
  <c r="D622" i="2"/>
  <c r="D621" i="2"/>
  <c r="D620" i="2"/>
  <c r="D619" i="2"/>
  <c r="D618" i="2"/>
  <c r="D614" i="2"/>
  <c r="D613" i="2"/>
  <c r="J613" i="2" s="1"/>
  <c r="D612" i="2"/>
  <c r="D611" i="2"/>
  <c r="J611" i="2" s="1"/>
  <c r="D610" i="2"/>
  <c r="J610" i="2" s="1"/>
  <c r="D609" i="2"/>
  <c r="J609" i="2" s="1"/>
  <c r="D608" i="2"/>
  <c r="D607" i="2"/>
  <c r="D606" i="2"/>
  <c r="D605" i="2"/>
  <c r="D604" i="2"/>
  <c r="D603" i="2"/>
  <c r="D602" i="2"/>
  <c r="D601" i="2"/>
  <c r="D600" i="2"/>
  <c r="D599" i="2"/>
  <c r="D598" i="2"/>
  <c r="D597" i="2"/>
  <c r="D596" i="2"/>
  <c r="D595" i="2"/>
  <c r="D594" i="2"/>
  <c r="D593" i="2"/>
  <c r="D592" i="2"/>
  <c r="D591" i="2"/>
  <c r="D590" i="2"/>
  <c r="D589" i="2"/>
  <c r="D588" i="2"/>
  <c r="D587" i="2"/>
  <c r="D586" i="2"/>
  <c r="D585" i="2"/>
  <c r="D584" i="2"/>
  <c r="D583" i="2"/>
  <c r="D582" i="2"/>
  <c r="D581" i="2"/>
  <c r="D580" i="2"/>
  <c r="D579" i="2"/>
  <c r="D578" i="2"/>
  <c r="D577" i="2"/>
  <c r="D501" i="2"/>
  <c r="D500" i="2"/>
  <c r="D499" i="2"/>
  <c r="D498" i="2"/>
  <c r="D497" i="2"/>
  <c r="D496" i="2"/>
  <c r="D495" i="2"/>
  <c r="D494" i="2"/>
  <c r="D493" i="2"/>
  <c r="D492" i="2"/>
  <c r="D491" i="2"/>
  <c r="D490" i="2"/>
  <c r="D489" i="2"/>
  <c r="D488" i="2"/>
  <c r="D487" i="2"/>
  <c r="D486" i="2"/>
  <c r="D485" i="2"/>
  <c r="D484" i="2"/>
  <c r="D483" i="2"/>
  <c r="D482" i="2"/>
  <c r="D481" i="2"/>
  <c r="D480" i="2"/>
  <c r="D479" i="2"/>
  <c r="D478" i="2"/>
  <c r="D477" i="2"/>
  <c r="D476" i="2"/>
  <c r="D475" i="2"/>
  <c r="D474" i="2"/>
  <c r="D473" i="2"/>
  <c r="D472" i="2"/>
  <c r="D471" i="2"/>
  <c r="D470" i="2"/>
  <c r="D466" i="2"/>
  <c r="J466" i="2" s="1"/>
  <c r="D465" i="2"/>
  <c r="J465" i="2" s="1"/>
  <c r="D464" i="2"/>
  <c r="J464" i="2" s="1"/>
  <c r="D463" i="2"/>
  <c r="J463" i="2" s="1"/>
  <c r="D462" i="2"/>
  <c r="J462" i="2" s="1"/>
  <c r="D461" i="2"/>
  <c r="J461" i="2" s="1"/>
  <c r="D460" i="2"/>
  <c r="J460" i="2" s="1"/>
  <c r="D459" i="2"/>
  <c r="J459" i="2" s="1"/>
  <c r="D458" i="2"/>
  <c r="J458" i="2" s="1"/>
  <c r="D457" i="2"/>
  <c r="J457" i="2" s="1"/>
  <c r="D456" i="2"/>
  <c r="J456" i="2" s="1"/>
  <c r="D455" i="2"/>
  <c r="J455" i="2" s="1"/>
  <c r="D454" i="2"/>
  <c r="J454" i="2" s="1"/>
  <c r="D453" i="2"/>
  <c r="J453" i="2" s="1"/>
  <c r="D452" i="2"/>
  <c r="J452" i="2" s="1"/>
  <c r="D451" i="2"/>
  <c r="J451" i="2" s="1"/>
  <c r="D450" i="2"/>
  <c r="J450" i="2" s="1"/>
  <c r="D449" i="2"/>
  <c r="J449" i="2" s="1"/>
  <c r="D448" i="2"/>
  <c r="J448" i="2" s="1"/>
  <c r="D447" i="2"/>
  <c r="J447" i="2" s="1"/>
  <c r="D446" i="2"/>
  <c r="J446" i="2" s="1"/>
  <c r="D445" i="2"/>
  <c r="J445" i="2" s="1"/>
  <c r="D444" i="2"/>
  <c r="J444" i="2" s="1"/>
  <c r="D443" i="2"/>
  <c r="J443" i="2" s="1"/>
  <c r="D442" i="2"/>
  <c r="J442" i="2" s="1"/>
  <c r="D441" i="2"/>
  <c r="J441" i="2" s="1"/>
  <c r="D440" i="2"/>
  <c r="J440" i="2" s="1"/>
  <c r="D439" i="2"/>
  <c r="J439" i="2" s="1"/>
  <c r="D438" i="2"/>
  <c r="J438" i="2" s="1"/>
  <c r="D437" i="2"/>
  <c r="J437" i="2" s="1"/>
  <c r="D436" i="2"/>
  <c r="J436" i="2" s="1"/>
  <c r="D435" i="2"/>
  <c r="J435" i="2" s="1"/>
  <c r="D434" i="2"/>
  <c r="J434" i="2" s="1"/>
  <c r="D433" i="2"/>
  <c r="J433" i="2" s="1"/>
  <c r="D432" i="2"/>
  <c r="J432" i="2" s="1"/>
  <c r="D431" i="2"/>
  <c r="J431" i="2" s="1"/>
  <c r="D430" i="2"/>
  <c r="J430" i="2" s="1"/>
  <c r="D429" i="2"/>
  <c r="J429" i="2" s="1"/>
  <c r="D428" i="2"/>
  <c r="J428" i="2" s="1"/>
  <c r="D427" i="2"/>
  <c r="J427" i="2" s="1"/>
  <c r="D426" i="2"/>
  <c r="J426" i="2" s="1"/>
  <c r="D425" i="2"/>
  <c r="J425" i="2" s="1"/>
  <c r="D424" i="2"/>
  <c r="J424" i="2" s="1"/>
  <c r="D423" i="2"/>
  <c r="J423" i="2" s="1"/>
  <c r="D422" i="2"/>
  <c r="J422" i="2" s="1"/>
  <c r="D421" i="2"/>
  <c r="J421" i="2" s="1"/>
  <c r="D420" i="2"/>
  <c r="J420" i="2" s="1"/>
  <c r="D419" i="2"/>
  <c r="J419" i="2" s="1"/>
  <c r="D418" i="2"/>
  <c r="J418" i="2" s="1"/>
  <c r="D417" i="2"/>
  <c r="J417" i="2" s="1"/>
  <c r="D416" i="2"/>
  <c r="J416" i="2" s="1"/>
  <c r="D415" i="2"/>
  <c r="J415" i="2" s="1"/>
  <c r="H401" i="2"/>
  <c r="J401" i="2" s="1"/>
  <c r="H396" i="2"/>
  <c r="J396" i="2" s="1"/>
  <c r="H388" i="2"/>
  <c r="J388" i="2" s="1"/>
  <c r="H383" i="2"/>
  <c r="J383" i="2" s="1"/>
  <c r="H378" i="2"/>
  <c r="J378" i="2" s="1"/>
  <c r="H373" i="2"/>
  <c r="J373" i="2" s="1"/>
  <c r="J361" i="2"/>
  <c r="J366" i="2" s="1"/>
  <c r="B323" i="2"/>
  <c r="A323" i="2"/>
  <c r="B322" i="2"/>
  <c r="A322" i="2"/>
  <c r="A321" i="2"/>
  <c r="J320" i="2"/>
  <c r="J317" i="2"/>
  <c r="B311" i="2"/>
  <c r="A311" i="2"/>
  <c r="A310" i="2"/>
  <c r="J309" i="2"/>
  <c r="B297" i="2"/>
  <c r="A297" i="2"/>
  <c r="B296" i="2"/>
  <c r="A296" i="2"/>
  <c r="J255" i="2"/>
  <c r="J254" i="2"/>
  <c r="J253" i="2"/>
  <c r="J252" i="2"/>
  <c r="J251" i="2"/>
  <c r="J250" i="2"/>
  <c r="J249" i="2"/>
  <c r="J248" i="2"/>
  <c r="J247" i="2"/>
  <c r="J246" i="2"/>
  <c r="J245" i="2"/>
  <c r="J244" i="2"/>
  <c r="J243" i="2"/>
  <c r="J242" i="2"/>
  <c r="J241" i="2"/>
  <c r="J240" i="2"/>
  <c r="J239" i="2"/>
  <c r="J238" i="2"/>
  <c r="J237" i="2"/>
  <c r="J236" i="2"/>
  <c r="J235" i="2"/>
  <c r="J234" i="2"/>
  <c r="J233" i="2"/>
  <c r="J232" i="2"/>
  <c r="J231" i="2"/>
  <c r="J230" i="2"/>
  <c r="J229" i="2"/>
  <c r="J228" i="2"/>
  <c r="J227" i="2"/>
  <c r="J226" i="2"/>
  <c r="J225" i="2"/>
  <c r="A139" i="2"/>
  <c r="J138" i="2"/>
  <c r="J137" i="2"/>
  <c r="J136" i="2"/>
  <c r="J135" i="2"/>
  <c r="J134" i="2"/>
  <c r="B132" i="2"/>
  <c r="A132" i="2"/>
  <c r="A131" i="2"/>
  <c r="J130" i="2"/>
  <c r="J129" i="2"/>
  <c r="J128" i="2"/>
  <c r="J127" i="2"/>
  <c r="J126" i="2"/>
  <c r="J125" i="2"/>
  <c r="J124" i="2"/>
  <c r="J123" i="2"/>
  <c r="J122" i="2"/>
  <c r="J121" i="2"/>
  <c r="J120" i="2"/>
  <c r="J119" i="2"/>
  <c r="J118" i="2"/>
  <c r="J117" i="2"/>
  <c r="J116" i="2"/>
  <c r="J115" i="2"/>
  <c r="B113" i="2"/>
  <c r="A113" i="2"/>
  <c r="A112" i="2"/>
  <c r="J111" i="2"/>
  <c r="J109" i="2"/>
  <c r="J108" i="2"/>
  <c r="J107" i="2"/>
  <c r="J106" i="2"/>
  <c r="J105" i="2"/>
  <c r="J104" i="2"/>
  <c r="J103" i="2"/>
  <c r="J102" i="2"/>
  <c r="J101" i="2"/>
  <c r="J100" i="2"/>
  <c r="J99" i="2"/>
  <c r="J98" i="2"/>
  <c r="J97" i="2"/>
  <c r="J96" i="2"/>
  <c r="B94" i="2"/>
  <c r="A94" i="2"/>
  <c r="A93" i="2"/>
  <c r="J92" i="2"/>
  <c r="J89" i="2"/>
  <c r="J88" i="2"/>
  <c r="J87" i="2"/>
  <c r="J86" i="2"/>
  <c r="J85" i="2"/>
  <c r="J84" i="2"/>
  <c r="J83" i="2"/>
  <c r="J82" i="2"/>
  <c r="J81" i="2"/>
  <c r="J80" i="2"/>
  <c r="B78" i="2"/>
  <c r="A78" i="2"/>
  <c r="J74" i="2"/>
  <c r="J73" i="2"/>
  <c r="A70" i="2"/>
  <c r="J69" i="2"/>
  <c r="J70" i="2" s="1"/>
  <c r="E31" i="1" s="1"/>
  <c r="B67" i="2"/>
  <c r="A67" i="2"/>
  <c r="B66" i="2"/>
  <c r="A66" i="2"/>
  <c r="A65" i="2"/>
  <c r="J64" i="2"/>
  <c r="J63" i="2"/>
  <c r="B61" i="2"/>
  <c r="A61" i="2"/>
  <c r="B60" i="2"/>
  <c r="A60" i="2"/>
  <c r="A59" i="2"/>
  <c r="D57" i="2"/>
  <c r="J57" i="2" s="1"/>
  <c r="D56" i="2"/>
  <c r="J56" i="2" s="1"/>
  <c r="D55" i="2"/>
  <c r="J55" i="2" s="1"/>
  <c r="D54" i="2"/>
  <c r="J54" i="2" s="1"/>
  <c r="D53" i="2"/>
  <c r="J53" i="2" s="1"/>
  <c r="D52" i="2"/>
  <c r="J52" i="2" s="1"/>
  <c r="B50" i="2"/>
  <c r="A50" i="2"/>
  <c r="B49" i="2"/>
  <c r="A49" i="2"/>
  <c r="A48" i="2"/>
  <c r="J47" i="2"/>
  <c r="J48" i="2" s="1"/>
  <c r="B45" i="2"/>
  <c r="A45" i="2"/>
  <c r="A44" i="2"/>
  <c r="J43" i="2"/>
  <c r="J44" i="2" s="1"/>
  <c r="E21" i="1" s="1"/>
  <c r="B41" i="2"/>
  <c r="A41" i="2"/>
  <c r="A40" i="2"/>
  <c r="J39" i="2"/>
  <c r="J40" i="2" s="1"/>
  <c r="E20" i="1" s="1"/>
  <c r="B37" i="2"/>
  <c r="A37" i="2"/>
  <c r="A36" i="2"/>
  <c r="J35" i="2"/>
  <c r="J36" i="2" s="1"/>
  <c r="E19" i="1" s="1"/>
  <c r="B33" i="2"/>
  <c r="A33" i="2"/>
  <c r="A32" i="2"/>
  <c r="J31" i="2"/>
  <c r="J32" i="2" s="1"/>
  <c r="E18" i="1" s="1"/>
  <c r="B29" i="2"/>
  <c r="A29" i="2"/>
  <c r="B28" i="2"/>
  <c r="A28" i="2"/>
  <c r="A27" i="2"/>
  <c r="J26" i="2"/>
  <c r="J27" i="2" s="1"/>
  <c r="E15" i="1" s="1"/>
  <c r="B24" i="2"/>
  <c r="A24" i="2"/>
  <c r="A23" i="2"/>
  <c r="J22" i="2"/>
  <c r="J23" i="2" s="1"/>
  <c r="E14" i="1" s="1"/>
  <c r="B20" i="2"/>
  <c r="A20" i="2"/>
  <c r="B19" i="2"/>
  <c r="A19" i="2"/>
  <c r="A18" i="2"/>
  <c r="J17" i="2"/>
  <c r="J16" i="2"/>
  <c r="F14" i="2"/>
  <c r="H14" i="2" s="1"/>
  <c r="B10" i="2"/>
  <c r="A10" i="2"/>
  <c r="B9" i="2"/>
  <c r="A9" i="2"/>
  <c r="J6" i="2"/>
  <c r="E179" i="1"/>
  <c r="E178" i="1"/>
  <c r="M178" i="1" s="1"/>
  <c r="E172" i="1"/>
  <c r="E170" i="1"/>
  <c r="B170" i="1"/>
  <c r="B167" i="1"/>
  <c r="E163" i="1"/>
  <c r="E162" i="1"/>
  <c r="E161" i="1"/>
  <c r="E134" i="1"/>
  <c r="B134" i="1"/>
  <c r="B133" i="1"/>
  <c r="B132" i="1"/>
  <c r="B131" i="1"/>
  <c r="B128" i="1"/>
  <c r="B127" i="1"/>
  <c r="B126" i="1"/>
  <c r="B125" i="1"/>
  <c r="B123" i="1"/>
  <c r="E106" i="1"/>
  <c r="E103" i="1"/>
  <c r="E87" i="1"/>
  <c r="E84" i="1"/>
  <c r="E81" i="1"/>
  <c r="E80" i="1"/>
  <c r="E78" i="1"/>
  <c r="E77" i="1"/>
  <c r="E76" i="1"/>
  <c r="H59" i="1"/>
  <c r="H58" i="1"/>
  <c r="I6" i="1"/>
  <c r="O5" i="5" s="1"/>
  <c r="F48" i="6" l="1"/>
  <c r="F50" i="6"/>
  <c r="H93" i="1"/>
  <c r="H100" i="1"/>
  <c r="F35" i="6"/>
  <c r="H57" i="1"/>
  <c r="H145" i="1"/>
  <c r="I145" i="1" s="1"/>
  <c r="H123" i="1"/>
  <c r="I123" i="1" s="1"/>
  <c r="H131" i="1"/>
  <c r="H167" i="1"/>
  <c r="I167" i="1" s="1"/>
  <c r="H21" i="1"/>
  <c r="I21" i="1" s="1"/>
  <c r="H73" i="1"/>
  <c r="H168" i="1"/>
  <c r="I168" i="1" s="1"/>
  <c r="H179" i="1"/>
  <c r="I179" i="1" s="1"/>
  <c r="H110" i="1"/>
  <c r="I110" i="1" s="1"/>
  <c r="H33" i="1"/>
  <c r="H74" i="1"/>
  <c r="H52" i="1"/>
  <c r="H111" i="1"/>
  <c r="I111" i="1" s="1"/>
  <c r="H34" i="1"/>
  <c r="H101" i="1"/>
  <c r="I101" i="1" s="1"/>
  <c r="H117" i="1"/>
  <c r="H153" i="1"/>
  <c r="I153" i="1" s="1"/>
  <c r="H81" i="1"/>
  <c r="I81" i="1" s="1"/>
  <c r="H41" i="1"/>
  <c r="H162" i="1"/>
  <c r="I162" i="1" s="1"/>
  <c r="H44" i="1"/>
  <c r="H77" i="1"/>
  <c r="I77" i="1" s="1"/>
  <c r="H127" i="1"/>
  <c r="I127" i="1" s="1"/>
  <c r="H158" i="1"/>
  <c r="I158" i="1" s="1"/>
  <c r="H67" i="1"/>
  <c r="I67" i="1" s="1"/>
  <c r="H105" i="1"/>
  <c r="I105" i="1" s="1"/>
  <c r="H119" i="1"/>
  <c r="I119" i="1" s="1"/>
  <c r="H20" i="1"/>
  <c r="H51" i="1"/>
  <c r="H68" i="1"/>
  <c r="I68" i="1" s="1"/>
  <c r="H87" i="1"/>
  <c r="I87" i="1" s="1"/>
  <c r="J1695" i="2"/>
  <c r="E118" i="1" s="1"/>
  <c r="J1689" i="2"/>
  <c r="E117" i="1" s="1"/>
  <c r="H39" i="1"/>
  <c r="I39" i="1" s="1"/>
  <c r="H40" i="1"/>
  <c r="J256" i="2"/>
  <c r="E40" i="1" s="1"/>
  <c r="H37" i="1"/>
  <c r="I37" i="1" s="1"/>
  <c r="H38" i="1"/>
  <c r="I38" i="1" s="1"/>
  <c r="J77" i="2"/>
  <c r="E32" i="1" s="1"/>
  <c r="H171" i="1"/>
  <c r="I171" i="1" s="1"/>
  <c r="H173" i="1"/>
  <c r="I173" i="1" s="1"/>
  <c r="J1708" i="2"/>
  <c r="E120" i="1" s="1"/>
  <c r="H32" i="1"/>
  <c r="H124" i="1"/>
  <c r="I124" i="1" s="1"/>
  <c r="J131" i="2"/>
  <c r="E35" i="1" s="1"/>
  <c r="M35" i="1" s="1"/>
  <c r="H35" i="1"/>
  <c r="H75" i="1"/>
  <c r="I75" i="1" s="1"/>
  <c r="H106" i="1"/>
  <c r="I106" i="1" s="1"/>
  <c r="H134" i="1"/>
  <c r="I134" i="1" s="1"/>
  <c r="H169" i="1"/>
  <c r="I169" i="1" s="1"/>
  <c r="H176" i="1"/>
  <c r="I176" i="1" s="1"/>
  <c r="H180" i="1"/>
  <c r="H78" i="1"/>
  <c r="I78" i="1" s="1"/>
  <c r="H88" i="1"/>
  <c r="I88" i="1" s="1"/>
  <c r="H102" i="1"/>
  <c r="I102" i="1" s="1"/>
  <c r="H114" i="1"/>
  <c r="I114" i="1" s="1"/>
  <c r="H120" i="1"/>
  <c r="H132" i="1"/>
  <c r="I132" i="1" s="1"/>
  <c r="H146" i="1"/>
  <c r="I146" i="1" s="1"/>
  <c r="H36" i="1"/>
  <c r="H62" i="1"/>
  <c r="I62" i="1" s="1"/>
  <c r="H84" i="1"/>
  <c r="I84" i="1" s="1"/>
  <c r="H115" i="1"/>
  <c r="I115" i="1" s="1"/>
  <c r="H121" i="1"/>
  <c r="I121" i="1" s="1"/>
  <c r="H129" i="1"/>
  <c r="I129" i="1" s="1"/>
  <c r="H137" i="1"/>
  <c r="I137" i="1" s="1"/>
  <c r="H150" i="1"/>
  <c r="I150" i="1" s="1"/>
  <c r="H155" i="1"/>
  <c r="I155" i="1" s="1"/>
  <c r="H160" i="1"/>
  <c r="I160" i="1" s="1"/>
  <c r="H163" i="1"/>
  <c r="I163" i="1" s="1"/>
  <c r="H177" i="1"/>
  <c r="I177" i="1" s="1"/>
  <c r="H183" i="1"/>
  <c r="H22" i="1"/>
  <c r="I22" i="1" s="1"/>
  <c r="H45" i="1"/>
  <c r="H53" i="1"/>
  <c r="H69" i="1"/>
  <c r="I69" i="1" s="1"/>
  <c r="H94" i="1"/>
  <c r="H125" i="1"/>
  <c r="I125" i="1" s="1"/>
  <c r="H128" i="1"/>
  <c r="I128" i="1" s="1"/>
  <c r="H154" i="1"/>
  <c r="I154" i="1" s="1"/>
  <c r="H14" i="1"/>
  <c r="I14" i="1" s="1"/>
  <c r="H25" i="1"/>
  <c r="H48" i="1"/>
  <c r="H54" i="1"/>
  <c r="H70" i="1"/>
  <c r="I70" i="1" s="1"/>
  <c r="H79" i="1"/>
  <c r="I79" i="1" s="1"/>
  <c r="H89" i="1"/>
  <c r="I89" i="1" s="1"/>
  <c r="H95" i="1"/>
  <c r="I95" i="1" s="1"/>
  <c r="H107" i="1"/>
  <c r="I107" i="1" s="1"/>
  <c r="H15" i="1"/>
  <c r="I15" i="1" s="1"/>
  <c r="H28" i="1"/>
  <c r="H49" i="1"/>
  <c r="H55" i="1"/>
  <c r="H63" i="1"/>
  <c r="I63" i="1" s="1"/>
  <c r="H71" i="1"/>
  <c r="I71" i="1" s="1"/>
  <c r="H76" i="1"/>
  <c r="I76" i="1" s="1"/>
  <c r="H85" i="1"/>
  <c r="I85" i="1" s="1"/>
  <c r="H92" i="1"/>
  <c r="H96" i="1"/>
  <c r="H103" i="1"/>
  <c r="I103" i="1" s="1"/>
  <c r="H108" i="1"/>
  <c r="I108" i="1" s="1"/>
  <c r="H118" i="1"/>
  <c r="H122" i="1"/>
  <c r="I122" i="1" s="1"/>
  <c r="H126" i="1"/>
  <c r="I126" i="1" s="1"/>
  <c r="H130" i="1"/>
  <c r="I130" i="1" s="1"/>
  <c r="H151" i="1"/>
  <c r="I151" i="1" s="1"/>
  <c r="H156" i="1"/>
  <c r="I156" i="1" s="1"/>
  <c r="H164" i="1"/>
  <c r="I164" i="1" s="1"/>
  <c r="H172" i="1"/>
  <c r="I172" i="1" s="1"/>
  <c r="H184" i="1"/>
  <c r="H18" i="1"/>
  <c r="I18" i="1" s="1"/>
  <c r="H31" i="1"/>
  <c r="I31" i="1" s="1"/>
  <c r="H50" i="1"/>
  <c r="H56" i="1"/>
  <c r="H64" i="1"/>
  <c r="I64" i="1" s="1"/>
  <c r="H72" i="1"/>
  <c r="I72" i="1" s="1"/>
  <c r="H80" i="1"/>
  <c r="I80" i="1" s="1"/>
  <c r="H86" i="1"/>
  <c r="I86" i="1" s="1"/>
  <c r="H99" i="1"/>
  <c r="I99" i="1" s="1"/>
  <c r="H104" i="1"/>
  <c r="H109" i="1"/>
  <c r="I109" i="1" s="1"/>
  <c r="H116" i="1"/>
  <c r="I116" i="1" s="1"/>
  <c r="H133" i="1"/>
  <c r="I133" i="1" s="1"/>
  <c r="H140" i="1"/>
  <c r="I140" i="1" s="1"/>
  <c r="H152" i="1"/>
  <c r="I152" i="1" s="1"/>
  <c r="H157" i="1"/>
  <c r="I157" i="1" s="1"/>
  <c r="H161" i="1"/>
  <c r="I161" i="1" s="1"/>
  <c r="H170" i="1"/>
  <c r="I170" i="1" s="1"/>
  <c r="H178" i="1"/>
  <c r="I178" i="1" s="1"/>
  <c r="H144" i="1"/>
  <c r="I144" i="1" s="1"/>
  <c r="N5" i="5"/>
  <c r="H19" i="1"/>
  <c r="I19" i="1" s="1"/>
  <c r="J139" i="2"/>
  <c r="E36" i="1" s="1"/>
  <c r="F39" i="6"/>
  <c r="F42" i="6" s="1"/>
  <c r="F44" i="6"/>
  <c r="J1277" i="2"/>
  <c r="J1280" i="2"/>
  <c r="J1284" i="2"/>
  <c r="J1288" i="2"/>
  <c r="J1292" i="2"/>
  <c r="J1313" i="2"/>
  <c r="J1316" i="2"/>
  <c r="J1320" i="2"/>
  <c r="J1324" i="2"/>
  <c r="J1328" i="2"/>
  <c r="G11" i="1"/>
  <c r="H11" i="1" s="1"/>
  <c r="G32" i="6"/>
  <c r="I131" i="1"/>
  <c r="L30" i="7"/>
  <c r="M29" i="7" s="1"/>
  <c r="H147" i="1"/>
  <c r="I147" i="1" s="1"/>
  <c r="J389" i="2"/>
  <c r="E49" i="1" s="1"/>
  <c r="J315" i="2"/>
  <c r="J319" i="2"/>
  <c r="J318" i="2"/>
  <c r="J314" i="2"/>
  <c r="J472" i="2"/>
  <c r="J475" i="2"/>
  <c r="J1262" i="2"/>
  <c r="J1266" i="2"/>
  <c r="J1270" i="2"/>
  <c r="J1274" i="2"/>
  <c r="J1295" i="2"/>
  <c r="J1298" i="2"/>
  <c r="J1302" i="2"/>
  <c r="J1306" i="2"/>
  <c r="J1310" i="2"/>
  <c r="J1331" i="2"/>
  <c r="J299" i="2"/>
  <c r="J302" i="2"/>
  <c r="J305" i="2"/>
  <c r="J308" i="2"/>
  <c r="J313" i="2"/>
  <c r="J614" i="2"/>
  <c r="J1198" i="2"/>
  <c r="J1202" i="2"/>
  <c r="J1210" i="2"/>
  <c r="J1234" i="2"/>
  <c r="J1238" i="2"/>
  <c r="J1246" i="2"/>
  <c r="E41" i="1"/>
  <c r="J316" i="2"/>
  <c r="J708" i="2"/>
  <c r="J711" i="2"/>
  <c r="J1179" i="2"/>
  <c r="J1206" i="2"/>
  <c r="J1242" i="2"/>
  <c r="J467" i="2"/>
  <c r="E51" i="1" s="1"/>
  <c r="J1337" i="2"/>
  <c r="J112" i="2"/>
  <c r="E34" i="1" s="1"/>
  <c r="J18" i="2"/>
  <c r="E11" i="1" s="1"/>
  <c r="J480" i="2"/>
  <c r="J495" i="2"/>
  <c r="J583" i="2"/>
  <c r="J595" i="2"/>
  <c r="J607" i="2"/>
  <c r="J1184" i="2"/>
  <c r="J1216" i="2"/>
  <c r="J300" i="2"/>
  <c r="J303" i="2"/>
  <c r="J306" i="2"/>
  <c r="J737" i="2"/>
  <c r="E59" i="1" s="1"/>
  <c r="I59" i="1" s="1"/>
  <c r="J1197" i="2"/>
  <c r="J1201" i="2"/>
  <c r="J1205" i="2"/>
  <c r="J1209" i="2"/>
  <c r="J1233" i="2"/>
  <c r="J1237" i="2"/>
  <c r="J1241" i="2"/>
  <c r="J1245" i="2"/>
  <c r="J1254" i="2"/>
  <c r="J1918" i="2"/>
  <c r="E183" i="1" s="1"/>
  <c r="J474" i="2"/>
  <c r="J486" i="2"/>
  <c r="J498" i="2"/>
  <c r="J577" i="2"/>
  <c r="J592" i="2"/>
  <c r="J604" i="2"/>
  <c r="J1192" i="2"/>
  <c r="J1228" i="2"/>
  <c r="J93" i="2"/>
  <c r="E33" i="1" s="1"/>
  <c r="J412" i="2"/>
  <c r="E50" i="1" s="1"/>
  <c r="J662" i="2"/>
  <c r="J471" i="2"/>
  <c r="J483" i="2"/>
  <c r="J492" i="2"/>
  <c r="J586" i="2"/>
  <c r="J601" i="2"/>
  <c r="J1220" i="2"/>
  <c r="J301" i="2"/>
  <c r="J304" i="2"/>
  <c r="J307" i="2"/>
  <c r="J1361" i="2"/>
  <c r="E94" i="1" s="1"/>
  <c r="J477" i="2"/>
  <c r="J489" i="2"/>
  <c r="J501" i="2"/>
  <c r="J580" i="2"/>
  <c r="J589" i="2"/>
  <c r="J598" i="2"/>
  <c r="J1188" i="2"/>
  <c r="J1224" i="2"/>
  <c r="J470" i="2"/>
  <c r="J59" i="2"/>
  <c r="E25" i="1" s="1"/>
  <c r="J65" i="2"/>
  <c r="E28" i="1" s="1"/>
  <c r="J619" i="2"/>
  <c r="J622" i="2"/>
  <c r="J625" i="2"/>
  <c r="J628" i="2"/>
  <c r="J631" i="2"/>
  <c r="J634" i="2"/>
  <c r="J637" i="2"/>
  <c r="J640" i="2"/>
  <c r="J643" i="2"/>
  <c r="J646" i="2"/>
  <c r="J649" i="2"/>
  <c r="J665" i="2"/>
  <c r="J668" i="2"/>
  <c r="J671" i="2"/>
  <c r="J674" i="2"/>
  <c r="J677" i="2"/>
  <c r="J680" i="2"/>
  <c r="J683" i="2"/>
  <c r="J686" i="2"/>
  <c r="J689" i="2"/>
  <c r="J692" i="2"/>
  <c r="J695" i="2"/>
  <c r="J698" i="2"/>
  <c r="J701" i="2"/>
  <c r="J704" i="2"/>
  <c r="J707" i="2"/>
  <c r="J710" i="2"/>
  <c r="J713" i="2"/>
  <c r="J1181" i="2"/>
  <c r="J473" i="2"/>
  <c r="J476" i="2"/>
  <c r="J479" i="2"/>
  <c r="J482" i="2"/>
  <c r="J485" i="2"/>
  <c r="J488" i="2"/>
  <c r="J491" i="2"/>
  <c r="J494" i="2"/>
  <c r="J497" i="2"/>
  <c r="J500" i="2"/>
  <c r="J579" i="2"/>
  <c r="J582" i="2"/>
  <c r="J585" i="2"/>
  <c r="J588" i="2"/>
  <c r="J591" i="2"/>
  <c r="J594" i="2"/>
  <c r="J597" i="2"/>
  <c r="J600" i="2"/>
  <c r="J603" i="2"/>
  <c r="J606" i="2"/>
  <c r="J658" i="2"/>
  <c r="J612" i="2"/>
  <c r="J620" i="2"/>
  <c r="J623" i="2"/>
  <c r="J626" i="2"/>
  <c r="J629" i="2"/>
  <c r="J632" i="2"/>
  <c r="J635" i="2"/>
  <c r="J638" i="2"/>
  <c r="J641" i="2"/>
  <c r="J644" i="2"/>
  <c r="J647" i="2"/>
  <c r="J663" i="2"/>
  <c r="J666" i="2"/>
  <c r="J669" i="2"/>
  <c r="J672" i="2"/>
  <c r="J675" i="2"/>
  <c r="J678" i="2"/>
  <c r="J681" i="2"/>
  <c r="J684" i="2"/>
  <c r="J687" i="2"/>
  <c r="J690" i="2"/>
  <c r="J693" i="2"/>
  <c r="J696" i="2"/>
  <c r="J699" i="2"/>
  <c r="J702" i="2"/>
  <c r="J705" i="2"/>
  <c r="J478" i="2"/>
  <c r="J481" i="2"/>
  <c r="J484" i="2"/>
  <c r="J487" i="2"/>
  <c r="J490" i="2"/>
  <c r="J493" i="2"/>
  <c r="J496" i="2"/>
  <c r="J499" i="2"/>
  <c r="J578" i="2"/>
  <c r="J581" i="2"/>
  <c r="J584" i="2"/>
  <c r="J587" i="2"/>
  <c r="J590" i="2"/>
  <c r="J593" i="2"/>
  <c r="J596" i="2"/>
  <c r="J599" i="2"/>
  <c r="J602" i="2"/>
  <c r="J605" i="2"/>
  <c r="J608" i="2"/>
  <c r="J621" i="2"/>
  <c r="J624" i="2"/>
  <c r="J627" i="2"/>
  <c r="J630" i="2"/>
  <c r="J633" i="2"/>
  <c r="J636" i="2"/>
  <c r="J639" i="2"/>
  <c r="J642" i="2"/>
  <c r="J645" i="2"/>
  <c r="J648" i="2"/>
  <c r="J664" i="2"/>
  <c r="J667" i="2"/>
  <c r="J670" i="2"/>
  <c r="J673" i="2"/>
  <c r="J676" i="2"/>
  <c r="J679" i="2"/>
  <c r="J682" i="2"/>
  <c r="J685" i="2"/>
  <c r="J688" i="2"/>
  <c r="J691" i="2"/>
  <c r="J694" i="2"/>
  <c r="J697" i="2"/>
  <c r="J700" i="2"/>
  <c r="J703" i="2"/>
  <c r="J706" i="2"/>
  <c r="J709" i="2"/>
  <c r="J712" i="2"/>
  <c r="J1180" i="2"/>
  <c r="J1196" i="2"/>
  <c r="J1199" i="2"/>
  <c r="J1203" i="2"/>
  <c r="J1207" i="2"/>
  <c r="J1211" i="2"/>
  <c r="J1232" i="2"/>
  <c r="J1235" i="2"/>
  <c r="J1239" i="2"/>
  <c r="J1243" i="2"/>
  <c r="J1247" i="2"/>
  <c r="J1256" i="2"/>
  <c r="J1264" i="2"/>
  <c r="J1268" i="2"/>
  <c r="J1272" i="2"/>
  <c r="J1296" i="2"/>
  <c r="J1300" i="2"/>
  <c r="J1304" i="2"/>
  <c r="J1308" i="2"/>
  <c r="J1261" i="2"/>
  <c r="J1265" i="2"/>
  <c r="J1269" i="2"/>
  <c r="J1273" i="2"/>
  <c r="J1297" i="2"/>
  <c r="J1301" i="2"/>
  <c r="J1305" i="2"/>
  <c r="J1309" i="2"/>
  <c r="J1185" i="2"/>
  <c r="J1189" i="2"/>
  <c r="J1193" i="2"/>
  <c r="J1214" i="2"/>
  <c r="J1217" i="2"/>
  <c r="J1221" i="2"/>
  <c r="J1225" i="2"/>
  <c r="J1229" i="2"/>
  <c r="J1278" i="2"/>
  <c r="J1282" i="2"/>
  <c r="J1286" i="2"/>
  <c r="J1290" i="2"/>
  <c r="J1314" i="2"/>
  <c r="J1318" i="2"/>
  <c r="J1322" i="2"/>
  <c r="J1326" i="2"/>
  <c r="J1335" i="2"/>
  <c r="J618" i="2"/>
  <c r="J656" i="2"/>
  <c r="J1183" i="2"/>
  <c r="J1187" i="2"/>
  <c r="J1191" i="2"/>
  <c r="J1215" i="2"/>
  <c r="J1219" i="2"/>
  <c r="J1223" i="2"/>
  <c r="J1227" i="2"/>
  <c r="J1260" i="2"/>
  <c r="J1279" i="2"/>
  <c r="J1283" i="2"/>
  <c r="J1287" i="2"/>
  <c r="J1291" i="2"/>
  <c r="J1315" i="2"/>
  <c r="J1319" i="2"/>
  <c r="J1323" i="2"/>
  <c r="J1327" i="2"/>
  <c r="J1911" i="2"/>
  <c r="E180" i="1" s="1"/>
  <c r="J1927" i="2"/>
  <c r="E184" i="1" s="1"/>
  <c r="G6" i="3"/>
  <c r="G6" i="4"/>
  <c r="J26" i="7"/>
  <c r="H6" i="4"/>
  <c r="J6" i="7"/>
  <c r="I96" i="1"/>
  <c r="I100" i="1"/>
  <c r="I20" i="1"/>
  <c r="I159" i="1"/>
  <c r="J1564" i="2"/>
  <c r="E104" i="1" s="1"/>
  <c r="E74" i="1"/>
  <c r="E73" i="1"/>
  <c r="E54" i="1"/>
  <c r="J537" i="2"/>
  <c r="E53" i="1" s="1"/>
  <c r="I53" i="1" s="1"/>
  <c r="E48" i="1"/>
  <c r="I25" i="1" l="1"/>
  <c r="I26" i="1" s="1"/>
  <c r="D16" i="5" s="1"/>
  <c r="G16" i="5" s="1"/>
  <c r="F51" i="6"/>
  <c r="I73" i="1"/>
  <c r="I41" i="1"/>
  <c r="I117" i="1"/>
  <c r="I33" i="1"/>
  <c r="I74" i="1"/>
  <c r="I34" i="1"/>
  <c r="M34" i="1"/>
  <c r="I138" i="1"/>
  <c r="D38" i="5" s="1"/>
  <c r="J38" i="5" s="1"/>
  <c r="I118" i="1"/>
  <c r="I32" i="1"/>
  <c r="I51" i="1"/>
  <c r="I49" i="1"/>
  <c r="I40" i="1"/>
  <c r="I48" i="1"/>
  <c r="I36" i="1"/>
  <c r="I120" i="1"/>
  <c r="I174" i="1"/>
  <c r="D46" i="5" s="1"/>
  <c r="H46" i="5" s="1"/>
  <c r="I28" i="1"/>
  <c r="I184" i="1"/>
  <c r="I180" i="1"/>
  <c r="I104" i="1"/>
  <c r="I94" i="1"/>
  <c r="I50" i="1"/>
  <c r="I35" i="1"/>
  <c r="I183" i="1"/>
  <c r="I54" i="1"/>
  <c r="I165" i="1"/>
  <c r="D44" i="5" s="1"/>
  <c r="J650" i="2"/>
  <c r="E56" i="1" s="1"/>
  <c r="I56" i="1" s="1"/>
  <c r="I11" i="1"/>
  <c r="J310" i="2"/>
  <c r="E44" i="1" s="1"/>
  <c r="J321" i="2"/>
  <c r="E45" i="1" s="1"/>
  <c r="I45" i="1" s="1"/>
  <c r="I38" i="5"/>
  <c r="N38" i="5"/>
  <c r="F38" i="5"/>
  <c r="E38" i="5"/>
  <c r="J659" i="2"/>
  <c r="E57" i="1" s="1"/>
  <c r="I57" i="1" s="1"/>
  <c r="L38" i="5"/>
  <c r="J1257" i="2"/>
  <c r="E92" i="1" s="1"/>
  <c r="I92" i="1" s="1"/>
  <c r="J502" i="2"/>
  <c r="E52" i="1" s="1"/>
  <c r="J714" i="2"/>
  <c r="E58" i="1" s="1"/>
  <c r="I58" i="1" s="1"/>
  <c r="J1338" i="2"/>
  <c r="E93" i="1" s="1"/>
  <c r="I93" i="1" s="1"/>
  <c r="J615" i="2"/>
  <c r="E55" i="1" s="1"/>
  <c r="I55" i="1" s="1"/>
  <c r="I141" i="1"/>
  <c r="D40" i="5" s="1"/>
  <c r="M38" i="5"/>
  <c r="H38" i="5"/>
  <c r="I148" i="1"/>
  <c r="D42" i="5" s="1"/>
  <c r="F42" i="5" s="1"/>
  <c r="I23" i="1"/>
  <c r="D14" i="5" s="1"/>
  <c r="F14" i="5" s="1"/>
  <c r="I16" i="1"/>
  <c r="D12" i="5" s="1"/>
  <c r="F12" i="5" s="1"/>
  <c r="G38" i="5"/>
  <c r="I90" i="1"/>
  <c r="D30" i="5" s="1"/>
  <c r="J30" i="5" s="1"/>
  <c r="I65" i="1"/>
  <c r="D26" i="5" s="1"/>
  <c r="Q38" i="5" l="1"/>
  <c r="J26" i="5"/>
  <c r="M26" i="5"/>
  <c r="I82" i="1"/>
  <c r="D28" i="5" s="1"/>
  <c r="K38" i="5"/>
  <c r="F16" i="5"/>
  <c r="I44" i="1"/>
  <c r="I46" i="1" s="1"/>
  <c r="D22" i="5" s="1"/>
  <c r="H22" i="5" s="1"/>
  <c r="M44" i="1"/>
  <c r="I12" i="1"/>
  <c r="I16" i="5"/>
  <c r="L16" i="5"/>
  <c r="K16" i="5"/>
  <c r="I135" i="1"/>
  <c r="D36" i="5" s="1"/>
  <c r="H36" i="5" s="1"/>
  <c r="I29" i="1"/>
  <c r="I112" i="1"/>
  <c r="D34" i="5" s="1"/>
  <c r="H34" i="5" s="1"/>
  <c r="I52" i="1"/>
  <c r="I60" i="1" s="1"/>
  <c r="D24" i="5" s="1"/>
  <c r="F24" i="5" s="1"/>
  <c r="M52" i="1"/>
  <c r="H16" i="5"/>
  <c r="N16" i="5"/>
  <c r="J16" i="5"/>
  <c r="E16" i="5"/>
  <c r="M16" i="5"/>
  <c r="I181" i="1"/>
  <c r="D18" i="5"/>
  <c r="D48" i="5"/>
  <c r="K48" i="5" s="1"/>
  <c r="I185" i="1"/>
  <c r="D50" i="5" s="1"/>
  <c r="G50" i="5" s="1"/>
  <c r="I42" i="1"/>
  <c r="D20" i="5" s="1"/>
  <c r="I20" i="5" s="1"/>
  <c r="J46" i="5"/>
  <c r="F46" i="5"/>
  <c r="I97" i="1"/>
  <c r="D32" i="5" s="1"/>
  <c r="N32" i="5" s="1"/>
  <c r="J28" i="5"/>
  <c r="G40" i="5"/>
  <c r="I14" i="5"/>
  <c r="G28" i="5"/>
  <c r="F26" i="5"/>
  <c r="I40" i="5"/>
  <c r="K30" i="5"/>
  <c r="J40" i="5"/>
  <c r="N14" i="5"/>
  <c r="H26" i="5"/>
  <c r="F40" i="5"/>
  <c r="M30" i="5"/>
  <c r="L14" i="5"/>
  <c r="J14" i="5"/>
  <c r="H30" i="5"/>
  <c r="F28" i="5"/>
  <c r="I28" i="5"/>
  <c r="M28" i="5"/>
  <c r="L28" i="5"/>
  <c r="L40" i="5"/>
  <c r="N28" i="5"/>
  <c r="N40" i="5"/>
  <c r="M40" i="5"/>
  <c r="L30" i="5"/>
  <c r="E28" i="5"/>
  <c r="H28" i="5"/>
  <c r="E40" i="5"/>
  <c r="H40" i="5"/>
  <c r="E14" i="5"/>
  <c r="K28" i="5"/>
  <c r="K40" i="5"/>
  <c r="G30" i="5"/>
  <c r="G14" i="5"/>
  <c r="M14" i="5"/>
  <c r="I26" i="5"/>
  <c r="E26" i="5"/>
  <c r="Q26" i="5" s="1"/>
  <c r="K26" i="5"/>
  <c r="I46" i="5"/>
  <c r="F30" i="5"/>
  <c r="K14" i="5"/>
  <c r="G46" i="5"/>
  <c r="M46" i="5"/>
  <c r="L46" i="5"/>
  <c r="K46" i="5"/>
  <c r="L26" i="5"/>
  <c r="J42" i="5"/>
  <c r="G26" i="5"/>
  <c r="N26" i="5"/>
  <c r="G44" i="5"/>
  <c r="E34" i="5"/>
  <c r="J12" i="5"/>
  <c r="G12" i="5"/>
  <c r="H14" i="5"/>
  <c r="N46" i="5"/>
  <c r="K12" i="5"/>
  <c r="E46" i="5"/>
  <c r="N30" i="5"/>
  <c r="I30" i="5"/>
  <c r="I12" i="5"/>
  <c r="F34" i="5"/>
  <c r="J44" i="5"/>
  <c r="K42" i="5"/>
  <c r="N42" i="5"/>
  <c r="I42" i="5"/>
  <c r="M42" i="5"/>
  <c r="L42" i="5"/>
  <c r="G42" i="5"/>
  <c r="H42" i="5"/>
  <c r="E42" i="5"/>
  <c r="M44" i="5"/>
  <c r="E44" i="5"/>
  <c r="H44" i="5"/>
  <c r="K44" i="5"/>
  <c r="N44" i="5"/>
  <c r="M12" i="5"/>
  <c r="L12" i="5"/>
  <c r="F44" i="5"/>
  <c r="I44" i="5"/>
  <c r="E12" i="5"/>
  <c r="N12" i="5"/>
  <c r="L44" i="5"/>
  <c r="E30" i="5"/>
  <c r="H12" i="5"/>
  <c r="Q14" i="5" l="1"/>
  <c r="Q42" i="5"/>
  <c r="Q44" i="5"/>
  <c r="Q30" i="5"/>
  <c r="Q40" i="5"/>
  <c r="Q12" i="5"/>
  <c r="Q46" i="5"/>
  <c r="Q16" i="5"/>
  <c r="I186" i="1"/>
  <c r="K44" i="1" s="1"/>
  <c r="J34" i="5"/>
  <c r="Q28" i="5"/>
  <c r="N34" i="5"/>
  <c r="G34" i="5"/>
  <c r="Q34" i="5" s="1"/>
  <c r="I34" i="5"/>
  <c r="M34" i="5"/>
  <c r="L34" i="5"/>
  <c r="K34" i="5"/>
  <c r="K52" i="1"/>
  <c r="D10" i="5"/>
  <c r="I10" i="5" s="1"/>
  <c r="M18" i="5"/>
  <c r="F18" i="5"/>
  <c r="J18" i="5"/>
  <c r="G48" i="5"/>
  <c r="L18" i="5"/>
  <c r="N18" i="5"/>
  <c r="E18" i="5"/>
  <c r="G18" i="5"/>
  <c r="N48" i="5"/>
  <c r="I18" i="5"/>
  <c r="L48" i="5"/>
  <c r="F48" i="5"/>
  <c r="H48" i="5"/>
  <c r="I48" i="5"/>
  <c r="M48" i="5"/>
  <c r="J50" i="5"/>
  <c r="L50" i="5"/>
  <c r="N50" i="5"/>
  <c r="J48" i="5"/>
  <c r="E48" i="5"/>
  <c r="Q48" i="5" s="1"/>
  <c r="F50" i="5"/>
  <c r="M50" i="5"/>
  <c r="H18" i="5"/>
  <c r="K18" i="5"/>
  <c r="H50" i="5"/>
  <c r="I50" i="5"/>
  <c r="K50" i="5"/>
  <c r="E50" i="5"/>
  <c r="N20" i="5"/>
  <c r="L20" i="5"/>
  <c r="F20" i="5"/>
  <c r="M20" i="5"/>
  <c r="J20" i="5"/>
  <c r="H20" i="5"/>
  <c r="G20" i="5"/>
  <c r="E20" i="5"/>
  <c r="K20" i="5"/>
  <c r="G32" i="5"/>
  <c r="K22" i="5"/>
  <c r="J24" i="5"/>
  <c r="L24" i="5"/>
  <c r="L22" i="5"/>
  <c r="F22" i="5"/>
  <c r="N22" i="5"/>
  <c r="J22" i="5"/>
  <c r="E22" i="5"/>
  <c r="M22" i="5"/>
  <c r="H32" i="5"/>
  <c r="I22" i="5"/>
  <c r="G22" i="5"/>
  <c r="I32" i="5"/>
  <c r="E32" i="5"/>
  <c r="K32" i="5"/>
  <c r="J32" i="5"/>
  <c r="L32" i="5"/>
  <c r="K36" i="5"/>
  <c r="G24" i="5"/>
  <c r="M24" i="5"/>
  <c r="H24" i="5"/>
  <c r="N24" i="5"/>
  <c r="F32" i="5"/>
  <c r="M32" i="5"/>
  <c r="K24" i="5"/>
  <c r="E24" i="5"/>
  <c r="Q24" i="5" s="1"/>
  <c r="I24" i="5"/>
  <c r="J36" i="5"/>
  <c r="G36" i="5"/>
  <c r="F36" i="5"/>
  <c r="E36" i="5"/>
  <c r="L36" i="5"/>
  <c r="N36" i="5"/>
  <c r="I36" i="5"/>
  <c r="M36" i="5"/>
  <c r="Q18" i="5" l="1"/>
  <c r="D52" i="5"/>
  <c r="D23" i="5" s="1"/>
  <c r="Q20" i="5"/>
  <c r="F10" i="5"/>
  <c r="F52" i="5" s="1"/>
  <c r="I52" i="5"/>
  <c r="Q36" i="5"/>
  <c r="Q32" i="5"/>
  <c r="Q22" i="5"/>
  <c r="Q50" i="5"/>
  <c r="M10" i="5"/>
  <c r="M52" i="5" s="1"/>
  <c r="J10" i="5"/>
  <c r="K10" i="5"/>
  <c r="G10" i="5"/>
  <c r="E10" i="5"/>
  <c r="H10" i="5"/>
  <c r="H52" i="5" s="1"/>
  <c r="L10" i="5"/>
  <c r="N10" i="5"/>
  <c r="N52" i="5" s="1"/>
  <c r="N51" i="5" s="1"/>
  <c r="J198" i="1"/>
  <c r="K22" i="1"/>
  <c r="K153" i="1"/>
  <c r="K169" i="1"/>
  <c r="K70" i="1"/>
  <c r="K25" i="1"/>
  <c r="K76" i="1"/>
  <c r="K109" i="1"/>
  <c r="K106" i="1"/>
  <c r="K100" i="1"/>
  <c r="K71" i="1"/>
  <c r="K75" i="1"/>
  <c r="K79" i="1"/>
  <c r="K85" i="1"/>
  <c r="K111" i="1"/>
  <c r="K18" i="1"/>
  <c r="K132" i="1"/>
  <c r="K119" i="1"/>
  <c r="K74" i="1"/>
  <c r="K116" i="1"/>
  <c r="K176" i="1"/>
  <c r="K122" i="1"/>
  <c r="K88" i="1"/>
  <c r="K146" i="1"/>
  <c r="K81" i="1"/>
  <c r="K167" i="1"/>
  <c r="K64" i="1"/>
  <c r="K73" i="1"/>
  <c r="K33" i="1"/>
  <c r="K110" i="1"/>
  <c r="K62" i="1"/>
  <c r="K131" i="1"/>
  <c r="K15" i="1"/>
  <c r="K155" i="1"/>
  <c r="K19" i="1"/>
  <c r="K168" i="1"/>
  <c r="K107" i="1"/>
  <c r="K173" i="1"/>
  <c r="K84" i="1"/>
  <c r="K128" i="1"/>
  <c r="K41" i="1"/>
  <c r="K130" i="1"/>
  <c r="K171" i="1"/>
  <c r="K53" i="1"/>
  <c r="K145" i="1"/>
  <c r="K72" i="1"/>
  <c r="K117" i="1"/>
  <c r="K156" i="1"/>
  <c r="K101" i="1"/>
  <c r="K125" i="1"/>
  <c r="K133" i="1"/>
  <c r="K96" i="1"/>
  <c r="K164" i="1"/>
  <c r="K69" i="1"/>
  <c r="K87" i="1"/>
  <c r="K78" i="1"/>
  <c r="K67" i="1"/>
  <c r="K172" i="1"/>
  <c r="K170" i="1"/>
  <c r="K21" i="1"/>
  <c r="K144" i="1"/>
  <c r="K134" i="1"/>
  <c r="K152" i="1"/>
  <c r="K114" i="1"/>
  <c r="K86" i="1"/>
  <c r="K177" i="1"/>
  <c r="K68" i="1"/>
  <c r="K124" i="1"/>
  <c r="K102" i="1"/>
  <c r="K147" i="1"/>
  <c r="K103" i="1"/>
  <c r="K39" i="1"/>
  <c r="K123" i="1"/>
  <c r="K159" i="1"/>
  <c r="K89" i="1"/>
  <c r="K105" i="1"/>
  <c r="K151" i="1"/>
  <c r="K59" i="1"/>
  <c r="K163" i="1"/>
  <c r="K95" i="1"/>
  <c r="K154" i="1"/>
  <c r="K77" i="1"/>
  <c r="K108" i="1"/>
  <c r="K157" i="1"/>
  <c r="K121" i="1"/>
  <c r="K115" i="1"/>
  <c r="K161" i="1"/>
  <c r="K37" i="1"/>
  <c r="K99" i="1"/>
  <c r="K137" i="1"/>
  <c r="K38" i="1"/>
  <c r="K150" i="1"/>
  <c r="K31" i="1"/>
  <c r="K129" i="1"/>
  <c r="K158" i="1"/>
  <c r="K126" i="1"/>
  <c r="K20" i="1"/>
  <c r="K178" i="1"/>
  <c r="K63" i="1"/>
  <c r="K127" i="1"/>
  <c r="K162" i="1"/>
  <c r="K140" i="1"/>
  <c r="K14" i="1"/>
  <c r="K179" i="1"/>
  <c r="K160" i="1"/>
  <c r="K80" i="1"/>
  <c r="K45" i="1"/>
  <c r="K50" i="1"/>
  <c r="K35" i="1"/>
  <c r="K120" i="1"/>
  <c r="K28" i="1"/>
  <c r="K40" i="1"/>
  <c r="K57" i="1"/>
  <c r="K54" i="1"/>
  <c r="K51" i="1"/>
  <c r="K32" i="1"/>
  <c r="K55" i="1"/>
  <c r="K180" i="1"/>
  <c r="K94" i="1"/>
  <c r="K93" i="1"/>
  <c r="K34" i="1"/>
  <c r="K118" i="1"/>
  <c r="K48" i="1"/>
  <c r="K92" i="1"/>
  <c r="K183" i="1"/>
  <c r="K56" i="1"/>
  <c r="K58" i="1"/>
  <c r="K104" i="1"/>
  <c r="K49" i="1"/>
  <c r="K184" i="1"/>
  <c r="K36" i="1"/>
  <c r="K11" i="1"/>
  <c r="H51" i="5"/>
  <c r="I51" i="5"/>
  <c r="D25" i="5"/>
  <c r="D15" i="5"/>
  <c r="D45" i="5"/>
  <c r="D13" i="5"/>
  <c r="D37" i="5"/>
  <c r="D29" i="5"/>
  <c r="D9" i="5"/>
  <c r="D41" i="5"/>
  <c r="D33" i="5"/>
  <c r="D35" i="5"/>
  <c r="D21" i="5"/>
  <c r="D49" i="5"/>
  <c r="D17" i="5"/>
  <c r="D39" i="5"/>
  <c r="D31" i="5"/>
  <c r="D47" i="5"/>
  <c r="D11" i="5"/>
  <c r="M51" i="5"/>
  <c r="F51" i="5"/>
  <c r="D27" i="5"/>
  <c r="D19" i="5"/>
  <c r="D43" i="5"/>
  <c r="L51" i="5" l="1"/>
  <c r="L52" i="5"/>
  <c r="J52" i="5"/>
  <c r="J51" i="5" s="1"/>
  <c r="G52" i="5"/>
  <c r="G51" i="5" s="1"/>
  <c r="K51" i="5"/>
  <c r="K52" i="5"/>
  <c r="Q10" i="5"/>
  <c r="E52" i="5"/>
  <c r="E51" i="5" s="1"/>
  <c r="D51" i="5"/>
  <c r="Q51" i="5" l="1"/>
  <c r="Q52" i="5"/>
</calcChain>
</file>

<file path=xl/comments1.xml><?xml version="1.0" encoding="utf-8"?>
<comments xmlns="http://schemas.openxmlformats.org/spreadsheetml/2006/main">
  <authors>
    <author>User</author>
  </authors>
  <commentList>
    <comment ref="F299" authorId="0" shapeId="0">
      <text>
        <r>
          <rPr>
            <b/>
            <sz val="9"/>
            <color indexed="81"/>
            <rFont val="Segoe UI"/>
            <family val="2"/>
          </rPr>
          <t>User:</t>
        </r>
        <r>
          <rPr>
            <sz val="9"/>
            <color indexed="81"/>
            <rFont val="Segoe UI"/>
            <family val="2"/>
          </rPr>
          <t xml:space="preserve">
verificar pé direito
</t>
        </r>
      </text>
    </comment>
  </commentList>
</comments>
</file>

<file path=xl/sharedStrings.xml><?xml version="1.0" encoding="utf-8"?>
<sst xmlns="http://schemas.openxmlformats.org/spreadsheetml/2006/main" count="3731" uniqueCount="893">
  <si>
    <t>OBRA POR EXECUÇÃO INDIRETA</t>
  </si>
  <si>
    <t>Setor requisitante: Secretaria Municipal de Saúde</t>
  </si>
  <si>
    <t>Objeto:</t>
  </si>
  <si>
    <t>BDI:</t>
  </si>
  <si>
    <t>PLANILHA ORÇAMENTÁRIA</t>
  </si>
  <si>
    <t>Item</t>
  </si>
  <si>
    <t>Preço referência</t>
  </si>
  <si>
    <t>Fonte</t>
  </si>
  <si>
    <t>Descrição</t>
  </si>
  <si>
    <t>Qtde.</t>
  </si>
  <si>
    <t>Un.</t>
  </si>
  <si>
    <t>Preço unitário           sem BDI</t>
  </si>
  <si>
    <t>Preço unitário           com BDI</t>
  </si>
  <si>
    <t>P. Total</t>
  </si>
  <si>
    <t>MOBILIZAÇÃO E DESMOBILIZAÇÃO</t>
  </si>
  <si>
    <t>1.1</t>
  </si>
  <si>
    <t>SUB-TOTAL</t>
  </si>
  <si>
    <t>2.1</t>
  </si>
  <si>
    <t>2.2</t>
  </si>
  <si>
    <t>ADMINISTRAÇÃO LOCAL</t>
  </si>
  <si>
    <t>H</t>
  </si>
  <si>
    <t>ED-21776</t>
  </si>
  <si>
    <t>MÊS</t>
  </si>
  <si>
    <t>4.1</t>
  </si>
  <si>
    <t>5.1</t>
  </si>
  <si>
    <t>M</t>
  </si>
  <si>
    <t>ED-49812</t>
  </si>
  <si>
    <t>KG</t>
  </si>
  <si>
    <t>6.1</t>
  </si>
  <si>
    <t>6.2</t>
  </si>
  <si>
    <t>6.3</t>
  </si>
  <si>
    <t>6.4</t>
  </si>
  <si>
    <t>6.5</t>
  </si>
  <si>
    <t>6.6</t>
  </si>
  <si>
    <t>ALVENARIA E DIVISÓRIAS</t>
  </si>
  <si>
    <t>7.1</t>
  </si>
  <si>
    <t>8.1</t>
  </si>
  <si>
    <t>8.2</t>
  </si>
  <si>
    <t>8.3</t>
  </si>
  <si>
    <t>8.4</t>
  </si>
  <si>
    <t>8.5</t>
  </si>
  <si>
    <t>8.6</t>
  </si>
  <si>
    <t>8.7</t>
  </si>
  <si>
    <t>PINTURA</t>
  </si>
  <si>
    <t>9.1</t>
  </si>
  <si>
    <t>9.2</t>
  </si>
  <si>
    <t>9.3</t>
  </si>
  <si>
    <t>10.1</t>
  </si>
  <si>
    <t>10.2</t>
  </si>
  <si>
    <t>10.3</t>
  </si>
  <si>
    <t>INSTALAÇÕES HIDROSANITÁRIAS</t>
  </si>
  <si>
    <t>11.1</t>
  </si>
  <si>
    <t>UN</t>
  </si>
  <si>
    <t>11.2</t>
  </si>
  <si>
    <t>11.3</t>
  </si>
  <si>
    <t>INSTALAÇÕES ELÉTRICAS</t>
  </si>
  <si>
    <t>12.1</t>
  </si>
  <si>
    <t>ED-48981</t>
  </si>
  <si>
    <t>12.4</t>
  </si>
  <si>
    <t>12.5</t>
  </si>
  <si>
    <t>ED-15749</t>
  </si>
  <si>
    <t>ED-15748</t>
  </si>
  <si>
    <t>ED-15743</t>
  </si>
  <si>
    <t>ED-15787</t>
  </si>
  <si>
    <t>ED-49527</t>
  </si>
  <si>
    <t>INSTALAÇÕES DE COMBATE A INCÊNDIO E PÂNICO</t>
  </si>
  <si>
    <t>13.1</t>
  </si>
  <si>
    <t>ED-50193</t>
  </si>
  <si>
    <t>13.2</t>
  </si>
  <si>
    <t>ILUMINAÇÃO DE EMERGÊNCIA</t>
  </si>
  <si>
    <t>97599</t>
  </si>
  <si>
    <t>13.3</t>
  </si>
  <si>
    <t>PLACA DE SINALIZAÇÃO DE EMERGÊNCIA</t>
  </si>
  <si>
    <t>Placa com superfície 100% fotoluminescente, pictogramas de acordo com a IT 15 do CBMMG, confeccionada em PVC rígido, com 2mm de espessura, impressão por serigrafia, resistente aos raios UV, resistente ao fogo, material auto extinguível superfície antiestática, não radioativo, isente de fósforo e chumbo. valores de intensidade luminosa comprovadas por certificado e de no mínimo 140 mcd/m² aos 10 minutos e 20 mcd/m² aos 60 minutos após estimulação e tempo de atenuação com autonomia minima de 1800 minutos de acordo com norma ABNT NBR 13.434-3. Ref.: Everlux ou similar</t>
  </si>
  <si>
    <t>ED-50205</t>
  </si>
  <si>
    <t>ED-50199</t>
  </si>
  <si>
    <t>Placa para equipamentos , tipo E5, dimensões 300x300mm</t>
  </si>
  <si>
    <t>Placa complementar, tipo M1, dimensões 400x600mm</t>
  </si>
  <si>
    <t>13.4</t>
  </si>
  <si>
    <t>SPDA</t>
  </si>
  <si>
    <t>14.1</t>
  </si>
  <si>
    <t>14.2</t>
  </si>
  <si>
    <t>ED-51022</t>
  </si>
  <si>
    <t>14.3</t>
  </si>
  <si>
    <t>ED-51052</t>
  </si>
  <si>
    <t>14.4</t>
  </si>
  <si>
    <t>ED-13934</t>
  </si>
  <si>
    <t>14.5</t>
  </si>
  <si>
    <t>14.6</t>
  </si>
  <si>
    <t>14.7</t>
  </si>
  <si>
    <t>ED-51073</t>
  </si>
  <si>
    <t>14.8</t>
  </si>
  <si>
    <t>98463</t>
  </si>
  <si>
    <t>14.9</t>
  </si>
  <si>
    <t>ED-51087</t>
  </si>
  <si>
    <t>14.10</t>
  </si>
  <si>
    <t>ED-51086</t>
  </si>
  <si>
    <t>14.11</t>
  </si>
  <si>
    <t>ED-51012</t>
  </si>
  <si>
    <t>14.12</t>
  </si>
  <si>
    <t>Comp - 001</t>
  </si>
  <si>
    <t>14.13</t>
  </si>
  <si>
    <t>Comp - 002</t>
  </si>
  <si>
    <t>14.14</t>
  </si>
  <si>
    <t>Comp - 003</t>
  </si>
  <si>
    <t>Comp - 004</t>
  </si>
  <si>
    <t>14.16</t>
  </si>
  <si>
    <t>Comp - 005</t>
  </si>
  <si>
    <t>Comp - 006</t>
  </si>
  <si>
    <t>15.1</t>
  </si>
  <si>
    <t>ED-49415</t>
  </si>
  <si>
    <t>Comp - 007</t>
  </si>
  <si>
    <t>Comp - 008</t>
  </si>
  <si>
    <t>TOTAL</t>
  </si>
  <si>
    <t>Instruções:</t>
  </si>
  <si>
    <t xml:space="preserve">5) A Contribuição Previdenciária sobre a Receita Bruta (CPRB) - Lei 13.161/2015, desonera a folha de salários de diversas atividades econômicas da construção civil e impacta no cálculo do BDI mediante a majoração do percentual correspondente à 4,5% sobre o preço total da obra, em substituição à contribuição previdenciária patronal de 20% prevista nos encargos sociais. </t>
  </si>
  <si>
    <t>6) Os serviços deverão ser executados rigorosamente conforme Planilha Orçamentária, Especificação Técnica e Projetos.</t>
  </si>
  <si>
    <t>7) Caso a Fiscalização Municipal entenda como inviável a execução de algum item previsto nesta planilha, a Prefeitura Municipal reserva-se o direito de realizar supressão total ou parcial do(s) mesmo(s), de acordo com os limites estabelecidos pela Lei nº 8.666/93.</t>
  </si>
  <si>
    <t>8) Os LICITANTES deverão apresentar composição do BDI utilizado em sua proposta comercial, detalhando cada percentual separadamente (Administração central, seguros, riscos, garantias, despesas financeiras, lucro/remuneração, impostos).  O percentual de ISS deverá seguir a legislação Municipal. A CONTRATANTE realizará retenção do ISS conforme alíquota adotada na composição da empresa vencedora do processo licitatório.</t>
  </si>
  <si>
    <t>MEMÓRIA DE CÁLCULO</t>
  </si>
  <si>
    <t>Detalhe</t>
  </si>
  <si>
    <t>Extensão</t>
  </si>
  <si>
    <t>Largura</t>
  </si>
  <si>
    <t>Altura</t>
  </si>
  <si>
    <t>Quantitade</t>
  </si>
  <si>
    <t>Área</t>
  </si>
  <si>
    <t>Dedução</t>
  </si>
  <si>
    <t>Mobilização</t>
  </si>
  <si>
    <t>Lados</t>
  </si>
  <si>
    <t>3.1</t>
  </si>
  <si>
    <t>Quantidade
(horas/dia)</t>
  </si>
  <si>
    <t>Quantidade
(dia)</t>
  </si>
  <si>
    <t>Quantidade
(mês)</t>
  </si>
  <si>
    <t xml:space="preserve">Área </t>
  </si>
  <si>
    <t>Total</t>
  </si>
  <si>
    <t xml:space="preserve">Engenheiro </t>
  </si>
  <si>
    <t>3.2</t>
  </si>
  <si>
    <t>Encarregado geral de obra</t>
  </si>
  <si>
    <r>
      <rPr>
        <b/>
        <sz val="14"/>
        <color rgb="FF000000"/>
        <rFont val="Arial"/>
        <family val="2"/>
      </rPr>
      <t xml:space="preserve">PREFEITURA MUNICIPAL                                                                                                                                                                                                                                         </t>
    </r>
    <r>
      <rPr>
        <b/>
        <sz val="11"/>
        <color rgb="FF000000"/>
        <rFont val="Arial"/>
        <family val="2"/>
      </rPr>
      <t>Secretaria de Obras e Serviços Urbanos</t>
    </r>
  </si>
  <si>
    <t>COTAÇÕES</t>
  </si>
  <si>
    <t>Descrição de serviço ou fornecimento</t>
  </si>
  <si>
    <t>Unidade</t>
  </si>
  <si>
    <t>CNPJ</t>
  </si>
  <si>
    <t>Nome da empresa fornecedora</t>
  </si>
  <si>
    <t>Telefone</t>
  </si>
  <si>
    <t>Contato</t>
  </si>
  <si>
    <t>Data da cotação</t>
  </si>
  <si>
    <t>Preço cotado (R$)</t>
  </si>
  <si>
    <t>17.155.342/0010-74</t>
  </si>
  <si>
    <t>Loja elétrica</t>
  </si>
  <si>
    <t>(31) 3218-8000</t>
  </si>
  <si>
    <t>Hygor Martins</t>
  </si>
  <si>
    <t>18.224.881/0001-90</t>
  </si>
  <si>
    <t>Termotécnica</t>
  </si>
  <si>
    <t>(31) 3308-7000</t>
  </si>
  <si>
    <t>Luciana Bastos</t>
  </si>
  <si>
    <t>82.699.588/0001-88</t>
  </si>
  <si>
    <t>Zeus do Brasil</t>
  </si>
  <si>
    <t>(47) 3331-3500</t>
  </si>
  <si>
    <t>-</t>
  </si>
  <si>
    <t>Observações:</t>
  </si>
  <si>
    <r>
      <rPr>
        <b/>
        <sz val="14"/>
        <color rgb="FF000000"/>
        <rFont val="Arial"/>
        <family val="2"/>
      </rPr>
      <t xml:space="preserve">PREFEITURA MUNICIPAL
</t>
    </r>
    <r>
      <rPr>
        <b/>
        <sz val="11"/>
        <color rgb="FF000000"/>
        <rFont val="Arial"/>
        <family val="2"/>
      </rPr>
      <t>Secretaria de Obras e Serviços Urbanos</t>
    </r>
  </si>
  <si>
    <t>Setor requisitante: Secretaria Municipal de Obras e Serviços Urbanos</t>
  </si>
  <si>
    <t>COMPOSIÇÃO DE CUSTOS</t>
  </si>
  <si>
    <t>Referência coeficiente</t>
  </si>
  <si>
    <t>Referência custo unitário</t>
  </si>
  <si>
    <t>Descrição do insumo / serviço</t>
  </si>
  <si>
    <t>Coeficiente</t>
  </si>
  <si>
    <t>Custo unitário (R$)</t>
  </si>
  <si>
    <t>Custo total (R$)</t>
  </si>
  <si>
    <t>Eletricista com encargos complementares</t>
  </si>
  <si>
    <t>Ajudante de eletricista com encargos complementares</t>
  </si>
  <si>
    <t>VALOR TOTAL:</t>
  </si>
  <si>
    <t>M2</t>
  </si>
  <si>
    <t>002.1</t>
  </si>
  <si>
    <t>002.2</t>
  </si>
  <si>
    <t>M3</t>
  </si>
  <si>
    <t>003.1</t>
  </si>
  <si>
    <t>003.2</t>
  </si>
  <si>
    <t>003.3</t>
  </si>
  <si>
    <t>004.1</t>
  </si>
  <si>
    <t>004.2</t>
  </si>
  <si>
    <t>004.3</t>
  </si>
  <si>
    <t>005.1</t>
  </si>
  <si>
    <t>005.2</t>
  </si>
  <si>
    <t>005.3</t>
  </si>
  <si>
    <t>Pedreiro com encargos complementares</t>
  </si>
  <si>
    <t>COTAÇÃO</t>
  </si>
  <si>
    <t>SERVIÇOS DIVERSOS</t>
  </si>
  <si>
    <t>CRONOGRAMA FÍSICO / FINANCEIRO</t>
  </si>
  <si>
    <t>ITEM</t>
  </si>
  <si>
    <t>ETAPAS/ DESCRIÇÃO</t>
  </si>
  <si>
    <t>FÍSICO/ FINANCEIRO</t>
  </si>
  <si>
    <t>TOTAL  ETAPAS</t>
  </si>
  <si>
    <t>MÊS 1</t>
  </si>
  <si>
    <t>MÊS 2</t>
  </si>
  <si>
    <t>MÊS 3</t>
  </si>
  <si>
    <t>MÊS 4</t>
  </si>
  <si>
    <t>MÊS 5</t>
  </si>
  <si>
    <t>MÊS 6</t>
  </si>
  <si>
    <t>MÊS 7</t>
  </si>
  <si>
    <t>MÊS 8</t>
  </si>
  <si>
    <t>MÊS 9</t>
  </si>
  <si>
    <t>MÊS 10</t>
  </si>
  <si>
    <t>MÊS 11</t>
  </si>
  <si>
    <t>MÊS 12</t>
  </si>
  <si>
    <t>Físico %</t>
  </si>
  <si>
    <t>Financeiro</t>
  </si>
  <si>
    <t>16.1</t>
  </si>
  <si>
    <t>ED-48343</t>
  </si>
  <si>
    <t>ED-50278</t>
  </si>
  <si>
    <t>ED-50297</t>
  </si>
  <si>
    <t>ED-49187</t>
  </si>
  <si>
    <t>ED-17952</t>
  </si>
  <si>
    <t>Cotta Materiais</t>
  </si>
  <si>
    <t>Ponto do Incêndio</t>
  </si>
  <si>
    <t>Silva Extintores</t>
  </si>
  <si>
    <t>(31)98489-8025</t>
  </si>
  <si>
    <t>Vanilce</t>
  </si>
  <si>
    <t>(31) 3851-3888</t>
  </si>
  <si>
    <t>Arthur</t>
  </si>
  <si>
    <t>(31)99382-0093</t>
  </si>
  <si>
    <t>Rômulo</t>
  </si>
  <si>
    <t>03.598.050/0001-00</t>
  </si>
  <si>
    <t>22.627.343/0001-13</t>
  </si>
  <si>
    <t>05.158.735/0001-61</t>
  </si>
  <si>
    <t>ED-50381</t>
  </si>
  <si>
    <t>12.2</t>
  </si>
  <si>
    <t>12.3</t>
  </si>
  <si>
    <t>COMUNICAÇÃO/ INTERFONE</t>
  </si>
  <si>
    <t>ED-16660</t>
  </si>
  <si>
    <t>ED-28530</t>
  </si>
  <si>
    <t>ED-21769</t>
  </si>
  <si>
    <t>ED-50135</t>
  </si>
  <si>
    <t>ED-50151</t>
  </si>
  <si>
    <t>ED-50150</t>
  </si>
  <si>
    <t>SERVIÇOS PRELIMINARES</t>
  </si>
  <si>
    <t>LOCAÇÃO DE OBRA</t>
  </si>
  <si>
    <t>ED-17989</t>
  </si>
  <si>
    <t>MOVIMENTAÇÃO DE TERRA</t>
  </si>
  <si>
    <t>ED-51107</t>
  </si>
  <si>
    <t>INFRAESTRUTURA E SUPERESTRUTURA</t>
  </si>
  <si>
    <t>ED-48298</t>
  </si>
  <si>
    <t>ED-19633</t>
  </si>
  <si>
    <t>ED-9906</t>
  </si>
  <si>
    <t>ED-9907</t>
  </si>
  <si>
    <t>ED-50174</t>
  </si>
  <si>
    <t>VB</t>
  </si>
  <si>
    <t>ED-48232</t>
  </si>
  <si>
    <t>ED-50568</t>
  </si>
  <si>
    <t>ED-51002</t>
  </si>
  <si>
    <t>ED-50727</t>
  </si>
  <si>
    <t>ED-50732</t>
  </si>
  <si>
    <t>ED-50761</t>
  </si>
  <si>
    <t>ED-48348</t>
  </si>
  <si>
    <t>ED-21636</t>
  </si>
  <si>
    <t>LOUÇAS E METAIS</t>
  </si>
  <si>
    <t>ED-16344</t>
  </si>
  <si>
    <t>ED-50290</t>
  </si>
  <si>
    <t>ED-50331</t>
  </si>
  <si>
    <t>ED-48156</t>
  </si>
  <si>
    <t>ED-51150</t>
  </si>
  <si>
    <t>ESQUADRIAS</t>
  </si>
  <si>
    <t>ED-49602</t>
  </si>
  <si>
    <t>ED-50514</t>
  </si>
  <si>
    <t>ED-50451</t>
  </si>
  <si>
    <t>ED-50452</t>
  </si>
  <si>
    <t>3.3</t>
  </si>
  <si>
    <t>3.4</t>
  </si>
  <si>
    <t>3.5</t>
  </si>
  <si>
    <t>6.7</t>
  </si>
  <si>
    <t>6.8</t>
  </si>
  <si>
    <t>6.9</t>
  </si>
  <si>
    <t>11.4</t>
  </si>
  <si>
    <t>11.5</t>
  </si>
  <si>
    <t>11.6</t>
  </si>
  <si>
    <t>13.5</t>
  </si>
  <si>
    <t>ED-49638</t>
  </si>
  <si>
    <t>COBERTURA</t>
  </si>
  <si>
    <t>ED-50223</t>
  </si>
  <si>
    <t>ED-50225</t>
  </si>
  <si>
    <t>ED-50224</t>
  </si>
  <si>
    <t>ED-50221</t>
  </si>
  <si>
    <t>ED-50007</t>
  </si>
  <si>
    <t>ED-49989</t>
  </si>
  <si>
    <t>ED-49965</t>
  </si>
  <si>
    <t>ED-49170</t>
  </si>
  <si>
    <t>ED-50000</t>
  </si>
  <si>
    <t>Quantidade
(horas/mês)</t>
  </si>
  <si>
    <t xml:space="preserve">Ligação provisória de energia </t>
  </si>
  <si>
    <t>Ligação provisória de água</t>
  </si>
  <si>
    <t>Mobilização de equipamento trado mecanizado</t>
  </si>
  <si>
    <t>n1</t>
  </si>
  <si>
    <t>n2</t>
  </si>
  <si>
    <t>n3</t>
  </si>
  <si>
    <t>n4</t>
  </si>
  <si>
    <t>n5</t>
  </si>
  <si>
    <t>n6</t>
  </si>
  <si>
    <t>n7</t>
  </si>
  <si>
    <t>n8</t>
  </si>
  <si>
    <t>n9</t>
  </si>
  <si>
    <t>n10</t>
  </si>
  <si>
    <t>n11</t>
  </si>
  <si>
    <t>n12</t>
  </si>
  <si>
    <t>n13</t>
  </si>
  <si>
    <t>forma</t>
  </si>
  <si>
    <t>concreto</t>
  </si>
  <si>
    <t>Perímetro</t>
  </si>
  <si>
    <t>Entrada</t>
  </si>
  <si>
    <t>Entrada de acesso</t>
  </si>
  <si>
    <t>Hall de escadas</t>
  </si>
  <si>
    <t>ED-50543</t>
  </si>
  <si>
    <t>Banheiro</t>
  </si>
  <si>
    <t>Cozinha</t>
  </si>
  <si>
    <t>PISO E REVESTIMENTO</t>
  </si>
  <si>
    <t>ED-50527</t>
  </si>
  <si>
    <t>13.6</t>
  </si>
  <si>
    <t>Volume</t>
  </si>
  <si>
    <t>Vigamento baldrame</t>
  </si>
  <si>
    <t>Quarto 01</t>
  </si>
  <si>
    <t>Quarto 02</t>
  </si>
  <si>
    <t>Sala + hall</t>
  </si>
  <si>
    <t>Teto</t>
  </si>
  <si>
    <t>Paredes</t>
  </si>
  <si>
    <t>Prédio em H</t>
  </si>
  <si>
    <t>Placa de Identificação padrão 1,50x3,00m</t>
  </si>
  <si>
    <t>Para o decorrer da obra</t>
  </si>
  <si>
    <t>ED-50667</t>
  </si>
  <si>
    <t>ED-50657</t>
  </si>
  <si>
    <t>ED-48408</t>
  </si>
  <si>
    <t>ED-48425</t>
  </si>
  <si>
    <t>ED-50683</t>
  </si>
  <si>
    <t>ED-49935</t>
  </si>
  <si>
    <t>ED-48669</t>
  </si>
  <si>
    <t>Halls de escada</t>
  </si>
  <si>
    <t>ED-49959</t>
  </si>
  <si>
    <t>ED-15205</t>
  </si>
  <si>
    <t>ED-50771</t>
  </si>
  <si>
    <t>Quarto 03</t>
  </si>
  <si>
    <t>Quarto 04</t>
  </si>
  <si>
    <t>Quarto 05</t>
  </si>
  <si>
    <t>Quarto 06</t>
  </si>
  <si>
    <t>Quarto 07</t>
  </si>
  <si>
    <t>Quarto 08</t>
  </si>
  <si>
    <t>17.1</t>
  </si>
  <si>
    <t>18.1</t>
  </si>
  <si>
    <t>18.2</t>
  </si>
  <si>
    <t>19.1</t>
  </si>
  <si>
    <t>19.2</t>
  </si>
  <si>
    <t>19.3</t>
  </si>
  <si>
    <t>19.4</t>
  </si>
  <si>
    <t>21.1</t>
  </si>
  <si>
    <t>21.2</t>
  </si>
  <si>
    <t>ED-50941</t>
  </si>
  <si>
    <t>ED-51144</t>
  </si>
  <si>
    <t>Construção Condomínio H (1 bloco)</t>
  </si>
  <si>
    <t>ED-50979</t>
  </si>
  <si>
    <t>ED-50955</t>
  </si>
  <si>
    <t>ED-50956</t>
  </si>
  <si>
    <t>ED-51156</t>
  </si>
  <si>
    <t>ED-50993</t>
  </si>
  <si>
    <t>7.2</t>
  </si>
  <si>
    <t>ED-48231</t>
  </si>
  <si>
    <t>ED-50283</t>
  </si>
  <si>
    <t>ED-50330</t>
  </si>
  <si>
    <t>ED-50301</t>
  </si>
  <si>
    <t>ED-48157</t>
  </si>
  <si>
    <t>ED-9081</t>
  </si>
  <si>
    <t>BANCADAS</t>
  </si>
  <si>
    <t>8.8</t>
  </si>
  <si>
    <t>8.9</t>
  </si>
  <si>
    <t>8.10</t>
  </si>
  <si>
    <t>10.4</t>
  </si>
  <si>
    <t>10.5</t>
  </si>
  <si>
    <t>10.6</t>
  </si>
  <si>
    <t>10.7</t>
  </si>
  <si>
    <t>10.8</t>
  </si>
  <si>
    <t>10.9</t>
  </si>
  <si>
    <t>10.10</t>
  </si>
  <si>
    <t>10.11</t>
  </si>
  <si>
    <t>10.12</t>
  </si>
  <si>
    <t>ED-48160</t>
  </si>
  <si>
    <t>ED-48167</t>
  </si>
  <si>
    <t>10.13</t>
  </si>
  <si>
    <t>10.14</t>
  </si>
  <si>
    <t>ED-50491</t>
  </si>
  <si>
    <t>13.7</t>
  </si>
  <si>
    <t>13.8</t>
  </si>
  <si>
    <t>13.9</t>
  </si>
  <si>
    <t>13.10</t>
  </si>
  <si>
    <t>13.11</t>
  </si>
  <si>
    <t>13.12</t>
  </si>
  <si>
    <t>13.13</t>
  </si>
  <si>
    <t>14.15</t>
  </si>
  <si>
    <t>14.17</t>
  </si>
  <si>
    <t>14.18</t>
  </si>
  <si>
    <t>14.19</t>
  </si>
  <si>
    <t>14.20</t>
  </si>
  <si>
    <t>14.21</t>
  </si>
  <si>
    <t>17.2</t>
  </si>
  <si>
    <t>17.3</t>
  </si>
  <si>
    <t>17.4</t>
  </si>
  <si>
    <t>18.3</t>
  </si>
  <si>
    <t>18.4</t>
  </si>
  <si>
    <t>18.5</t>
  </si>
  <si>
    <t>18.6</t>
  </si>
  <si>
    <t>18.7</t>
  </si>
  <si>
    <t>18.8</t>
  </si>
  <si>
    <t>18.9</t>
  </si>
  <si>
    <t>18.10</t>
  </si>
  <si>
    <t>18.11</t>
  </si>
  <si>
    <t>18.12</t>
  </si>
  <si>
    <t>18.13</t>
  </si>
  <si>
    <t>18.14</t>
  </si>
  <si>
    <t>18.15</t>
  </si>
  <si>
    <t>19.5</t>
  </si>
  <si>
    <t>19.6</t>
  </si>
  <si>
    <t>19.7</t>
  </si>
  <si>
    <t>20.1</t>
  </si>
  <si>
    <t>20.2</t>
  </si>
  <si>
    <t>Fundos</t>
  </si>
  <si>
    <t>Frente</t>
  </si>
  <si>
    <t>Laterais</t>
  </si>
  <si>
    <t>Rampa</t>
  </si>
  <si>
    <t>20.3</t>
  </si>
  <si>
    <t>20.4</t>
  </si>
  <si>
    <t>20.5</t>
  </si>
  <si>
    <t>ED-50393</t>
  </si>
  <si>
    <t>10.15</t>
  </si>
  <si>
    <t>ED-48158</t>
  </si>
  <si>
    <r>
      <t xml:space="preserve">1) Os preços unitários da planilha são referenciais, limites máximos permitidos e correspondem ao custo total de cada serviço. Foram utilizados preços de referência </t>
    </r>
    <r>
      <rPr>
        <b/>
        <sz val="10"/>
        <color theme="1"/>
        <rFont val="Arial"/>
        <family val="2"/>
        <scheme val="minor"/>
      </rPr>
      <t>com desoneração</t>
    </r>
    <r>
      <rPr>
        <sz val="10"/>
        <color theme="1"/>
        <rFont val="Arial"/>
        <family val="2"/>
        <scheme val="minor"/>
      </rPr>
      <t>, conforme Lei 13.161/2015.</t>
    </r>
  </si>
  <si>
    <r>
      <t xml:space="preserve">2) Estão incluídos nos custos de cada item: </t>
    </r>
    <r>
      <rPr>
        <b/>
        <sz val="10"/>
        <color theme="1"/>
        <rFont val="Arial"/>
        <family val="2"/>
        <scheme val="minor"/>
      </rPr>
      <t xml:space="preserve">Fornecimento e transporte de todos os materiais e equipamentos + mão de obra + encargos sociais + encargos complementares. </t>
    </r>
    <r>
      <rPr>
        <sz val="10"/>
        <color theme="1"/>
        <rFont val="Arial"/>
        <family val="2"/>
        <scheme val="minor"/>
      </rPr>
      <t xml:space="preserve">No preço unitário estão incluidos todos os componentes necessários para execução de cada serviço, mesmo aqueles que embora não citados sejam indispensáveis para o seu desenvolvimento. </t>
    </r>
  </si>
  <si>
    <r>
      <t xml:space="preserve">3) Os </t>
    </r>
    <r>
      <rPr>
        <b/>
        <sz val="10"/>
        <color theme="1"/>
        <rFont val="Arial"/>
        <family val="2"/>
        <scheme val="minor"/>
      </rPr>
      <t>Encargos complementares</t>
    </r>
    <r>
      <rPr>
        <sz val="10"/>
        <color theme="1"/>
        <rFont val="Arial"/>
        <family val="2"/>
        <scheme val="minor"/>
      </rPr>
      <t xml:space="preserve"> são custos associados à mão de obra - alimentação, transporte, equipamentos de proteção individual, ferramentas e outros.</t>
    </r>
  </si>
  <si>
    <t>ED-50324</t>
  </si>
  <si>
    <t>Execução do gabarito a 1 metro da obra -  bloco 1</t>
  </si>
  <si>
    <t>Execução do gabarito a 1 metro da obra -  bloco 2</t>
  </si>
  <si>
    <t>Execução do gabarito a 1 metro da obra -  bloco 3</t>
  </si>
  <si>
    <t>Execução do gabarito a 1 metro da obra -  bloco 4</t>
  </si>
  <si>
    <t>Execução do gabarito a 1 metro da obra -  bloco 5</t>
  </si>
  <si>
    <t>Execução do gabarito a 1 metro da obra -  bloco 6</t>
  </si>
  <si>
    <r>
      <t xml:space="preserve">PREFEITURA MUNICIPAL
</t>
    </r>
    <r>
      <rPr>
        <b/>
        <sz val="11"/>
        <rFont val="Arial"/>
        <family val="2"/>
      </rPr>
      <t>Secretaria de Obras e Serviços Urbanos</t>
    </r>
  </si>
  <si>
    <t>BDI</t>
  </si>
  <si>
    <t>Conforme legislação tributária municipal, definir estimativa de percentual da base de cálculo para o ISS:</t>
  </si>
  <si>
    <t>Sobre a base de cálculo, definir a respectiva alíquota do ISS (entre 2% e 5%):</t>
  </si>
  <si>
    <t>BDI 1</t>
  </si>
  <si>
    <t>TIPO DE OBRA</t>
  </si>
  <si>
    <t>Itens</t>
  </si>
  <si>
    <t>Siglas</t>
  </si>
  <si>
    <t>% Adotado</t>
  </si>
  <si>
    <t>AC</t>
  </si>
  <si>
    <t>SG</t>
  </si>
  <si>
    <t>R</t>
  </si>
  <si>
    <t>DF</t>
  </si>
  <si>
    <t>L</t>
  </si>
  <si>
    <t>Tributos (impostos COFINS 3%, e  PIS 0,65%)</t>
  </si>
  <si>
    <t>CP</t>
  </si>
  <si>
    <t>Tributos (ISS, variável de acordo com o município)</t>
  </si>
  <si>
    <t>ISS</t>
  </si>
  <si>
    <t>Tributos (Contribuição Previdenciária sobre a Receita Bruta - 0% ou 4,5% - Desoneração)</t>
  </si>
  <si>
    <t>CPRB</t>
  </si>
  <si>
    <t>BDI SEM desoneração (Fórmula Acórdão TCU)</t>
  </si>
  <si>
    <t>BDI PAD</t>
  </si>
  <si>
    <t>BDI COM desoneração</t>
  </si>
  <si>
    <t>BDI DES</t>
  </si>
  <si>
    <t>Os valores de BDI foram calculados com o emprego da fórmula:</t>
  </si>
  <si>
    <t>Contrução e Reforma de Edifícios</t>
  </si>
  <si>
    <t>Apartamento 201 - blocos 1, 2, 3, 4, 5 e 6</t>
  </si>
  <si>
    <t xml:space="preserve">Apartamento 404 - blocos 1, 2, 3, 4, 5 e 6 </t>
  </si>
  <si>
    <t>Quantitade por apto</t>
  </si>
  <si>
    <t>Quantidade de apto</t>
  </si>
  <si>
    <t>Área por bloco</t>
  </si>
  <si>
    <t xml:space="preserve">Apartamento 103 - blocos 1, 2, 3, 4, 5 e 6 </t>
  </si>
  <si>
    <t xml:space="preserve">Apartamento 104 - blocos 1, 2, 3, 4, 5 e 6 </t>
  </si>
  <si>
    <t xml:space="preserve">Hall 1º andar + espelhos degraus escada - blocos 1, 2, 3, 4, 5 e 6 </t>
  </si>
  <si>
    <t xml:space="preserve">Apartamento 202- blocos 1, 2, 3, 4, 5 e 6  </t>
  </si>
  <si>
    <t xml:space="preserve">Apartamento 203 - blocos 1, 2, 3, 4, 5 e 6 </t>
  </si>
  <si>
    <t xml:space="preserve">Apartamento 204 - blocos 1, 2, 3, 4, 5 e 6 </t>
  </si>
  <si>
    <t xml:space="preserve">Hall 2º andar + espelhos degraus escada - blocos 1, 2, 3, 4, 5 e 6 </t>
  </si>
  <si>
    <t xml:space="preserve">Apartamento 301 - blocos 1, 2, 3, 4, 5 e 6 </t>
  </si>
  <si>
    <t xml:space="preserve">Apartamento 302 - blocos 1, 2, 3, 4, 5 e 6 </t>
  </si>
  <si>
    <t xml:space="preserve">Apartamento 303 - blocos 1, 2, 3, 4, 5 e 6 </t>
  </si>
  <si>
    <t xml:space="preserve">Apartamento 304 - blocos 1, 2, 3, 4, 5 e 6 </t>
  </si>
  <si>
    <t xml:space="preserve">Hall 3º andar + espelhos degraus escada - blocos 1, 2, 3, 4, 5 e 6 </t>
  </si>
  <si>
    <t xml:space="preserve">Apartamento 401 - blocos 1, 2, 3, 4, 5 e 6 </t>
  </si>
  <si>
    <t xml:space="preserve">Apartamento 402 - blocos 1, 2, 3, 4, 5 e 6 </t>
  </si>
  <si>
    <t xml:space="preserve">Apartamento 403 - blocos 1, 2, 3, 4, 5 e 6 </t>
  </si>
  <si>
    <t xml:space="preserve">Apartamento 404- blocos 1, 2, 3, 4, 5 e 6 </t>
  </si>
  <si>
    <t xml:space="preserve">Hall 4º andar - blocos  2, 3, 4, 5 e 6 </t>
  </si>
  <si>
    <t>Hall 4º andar + espelhos degraus escada - blocos 2, 3, 4, 5 e 6</t>
  </si>
  <si>
    <t>Quantidade de blocos</t>
  </si>
  <si>
    <t>Quant. Blocos</t>
  </si>
  <si>
    <t>Quantitade de esquadrias</t>
  </si>
  <si>
    <t xml:space="preserve">Hall de escadas - blocos 2, 3, 4, 5 e 6 </t>
  </si>
  <si>
    <t>Quantitade de blocos</t>
  </si>
  <si>
    <t xml:space="preserve">Barracão na medida de 10,00x5,00 metros </t>
  </si>
  <si>
    <t>Desmobilização</t>
  </si>
  <si>
    <t>Contrução de Edifício</t>
  </si>
  <si>
    <t>ED-8471</t>
  </si>
  <si>
    <t>ED-50736</t>
  </si>
  <si>
    <t>ED-9066</t>
  </si>
  <si>
    <t>8.11</t>
  </si>
  <si>
    <t>8.12</t>
  </si>
  <si>
    <t>PREFEITURA MUNICIPAL DE NOVA ERA                                                                                                                                                                                                                                                             Secretaria de Obras e Serviços Urbanos</t>
  </si>
  <si>
    <r>
      <t>4) O BDI adotado foi de 28,08</t>
    </r>
    <r>
      <rPr>
        <b/>
        <sz val="10"/>
        <color theme="1"/>
        <rFont val="Arial"/>
        <family val="2"/>
        <scheme val="minor"/>
      </rPr>
      <t>%,</t>
    </r>
    <r>
      <rPr>
        <sz val="10"/>
        <color theme="1"/>
        <rFont val="Arial"/>
        <family val="2"/>
        <scheme val="minor"/>
      </rPr>
      <t xml:space="preserve"> </t>
    </r>
    <r>
      <rPr>
        <b/>
        <sz val="10"/>
        <color theme="1"/>
        <rFont val="Arial"/>
        <family val="2"/>
        <scheme val="minor"/>
      </rPr>
      <t>com desoneração</t>
    </r>
    <r>
      <rPr>
        <sz val="10"/>
        <color theme="1"/>
        <rFont val="Arial"/>
        <family val="2"/>
        <scheme val="minor"/>
      </rPr>
      <t xml:space="preserve">, conforme Acórdão nº 2622/2013 e Lei 13.161 de 31/08/15. Os percentuais adotados para o cálculo do BDI estão detalhados em planilha anexa.  Conforme legislação tributária Municipal, </t>
    </r>
    <r>
      <rPr>
        <b/>
        <sz val="10"/>
        <color theme="1"/>
        <rFont val="Arial"/>
        <family val="2"/>
        <scheme val="minor"/>
      </rPr>
      <t>a base de cálculo do ISS corresponde a 90,00%</t>
    </r>
    <r>
      <rPr>
        <sz val="10"/>
        <color theme="1"/>
        <rFont val="Arial"/>
        <family val="2"/>
        <scheme val="minor"/>
      </rPr>
      <t xml:space="preserve"> do valor deste tipo de obra e, sobre esta base, </t>
    </r>
    <r>
      <rPr>
        <b/>
        <sz val="10"/>
        <color theme="1"/>
        <rFont val="Arial"/>
        <family val="2"/>
        <scheme val="minor"/>
      </rPr>
      <t>incide ISS com alíquota de 5,00%</t>
    </r>
    <r>
      <rPr>
        <sz val="10"/>
        <color theme="1"/>
        <rFont val="Arial"/>
        <family val="2"/>
        <scheme val="minor"/>
      </rPr>
      <t>.</t>
    </r>
  </si>
  <si>
    <t>Engenheiro civil de obra júnior com encargos complementares</t>
  </si>
  <si>
    <t>Encarregado geral de obras com encargos complementares</t>
  </si>
  <si>
    <t>Fornecimento e colocação de placa de obra em chapa galvanizada #26, esp. 0,45 mm, plotada com adesivo vinílico, afixada com rebites 4,8x40 mm, em estrutura metálica de metalon 20x20 mm, esp. 1,25 mm, inclusive suporte em eucalipto auto clavado pintado com tinta pva duas (2) demãos</t>
  </si>
  <si>
    <t>Barracão de obra, em chapa de compensado resinado, inclusive instalações sanitárias e mobiliário - padrão der-mg</t>
  </si>
  <si>
    <t>Ligação provisória com entrada de energia aérea, padrão Cemig, carga instalada de 15,1KVA até 30KVA, trifásico, com saída subterrânea, inclusive poste, caixa para medidor, disjuntor, barramento, aterramento e acessórios</t>
  </si>
  <si>
    <t>Ligação de água provisória para canteiro, inclusive hidrômetro e cavalete para medição de água - entrada principal, em aço galvanizado DN 20mm (1/2") - padrão concessionária</t>
  </si>
  <si>
    <t>Andaime em cavalete metálico para alvenaria, com chapa de compensado e tábua, com reaproveitamento, inclusive montagem/desmontagem e remanejamento</t>
  </si>
  <si>
    <t xml:space="preserve"> M </t>
  </si>
  <si>
    <t xml:space="preserve"> M2</t>
  </si>
  <si>
    <t xml:space="preserve"> UN</t>
  </si>
  <si>
    <t>Locação de obra com gabarito de tábuas corridas pontaletadas a cada 2,00m, reaproveitamento (2x), inclusive acompanhamento de equipe topográfica para marcação de ponto topográfico</t>
  </si>
  <si>
    <t>Escavação manual de vala com profundidade menor ou igual a 1,5m</t>
  </si>
  <si>
    <t>Forma e desforma de tábua e sarrafo, reaproveitamento (5x), exclusive escoramento</t>
  </si>
  <si>
    <t>Corte, dobra e montagem de aço ca-50/60</t>
  </si>
  <si>
    <t>Escoramento metálico para laje e viga em concreto armado, tipo "a", altura de (200 até 310)cm, inclusive descarga, montagem, desmontagem e carga</t>
  </si>
  <si>
    <t>Contraverga em concreto estrutural para vãos acima de 150cm, preparado em obra com betoneira, controle "a", com fck 20 MPa, moldada in loco, inclusive armação</t>
  </si>
  <si>
    <t>Verga em concreto estrutural para vãos acima de 150cm, preparado em obra com betoneira, controle "a", com fck 20 MPa, moldada in loco, inclusive armação</t>
  </si>
  <si>
    <t>Pintura com emulsão asfáltica, duas (2) demãos</t>
  </si>
  <si>
    <t>M2XMÊS</t>
  </si>
  <si>
    <t>Alvenaria de vedação com tijolo cerâmico furado, esp. 14cm, para revestimento, inclusive argamassa para assentamento</t>
  </si>
  <si>
    <t>Alvenaria de vedação com tijolo cerâmico furado, esp. 9cm, para revestimento, inclusive argamassa para assentamento</t>
  </si>
  <si>
    <t>Lastro de concreto magro, inclusive transporte, lançamento e adensamento</t>
  </si>
  <si>
    <t>Contrapiso desempenado com argamassa, traço 1:3 (cimento e areia), esp. 30mm</t>
  </si>
  <si>
    <t>Revestimento com cerâmica aplicado em piso, acabamento esmaltado, ambiente externo (antiderrapante), padrão extra, dimensão da peça até 2025 cm2, PEI V, assentamento com argamassa industrializada, inclusive rejuntamento</t>
  </si>
  <si>
    <t>Rodapé com revestimento em cerâmica esmaltada comercial, altura 10cm, PEI IV, assentamento com argamassa industrializada, inclusive rejuntamento</t>
  </si>
  <si>
    <t>Revestimento com cerâmica aplicado em parede, acabamento esmaltado, ambiente interno/externo, padrão extra, dimensão da peça até 2025 cm2, PEI III, assentamento com argamassa industrializada, inclusive rejuntamento</t>
  </si>
  <si>
    <t>Soleira de granito cinza andorinha e = 2 cm</t>
  </si>
  <si>
    <t>Peitoril de ardósia e = 2 cm</t>
  </si>
  <si>
    <t>Chapisco com argamassa, traço 1:3 (cimento e areia), esp. 5mm, aplicado em alvenaria/estrutura de concreto com colher, preparo mecânico</t>
  </si>
  <si>
    <t>Emboço com argamassa, traço 1:6 (cimento e areia), esp. 20mm, aplicação manual, preparo mecânico</t>
  </si>
  <si>
    <t>Reboco com argamassa, traço 1:2:8 (cimento, cal e areia), esp. 20mm, aplicação manual, preparo mecânico</t>
  </si>
  <si>
    <t>Revestimento de gesso em parede, esp. 5mm, aplicação manual (sarrafeado)</t>
  </si>
  <si>
    <t>Revestimento de gesso em teto, esp. 5mm, aplicação manual (sarrafeado)</t>
  </si>
  <si>
    <t>Bancada em granito cinza andorinha e = 3 cm, apoiada em console de metalon 20 x 30 mm</t>
  </si>
  <si>
    <t>Rodabancada/frontão para bancada em granito, cor cinza andorinha, esp. 2cm, altura de 10cm, inclusive rejuntamento em massa plástica na cor da pedra</t>
  </si>
  <si>
    <t>Testeira para bancada em granito, cor cinza andorinha, esp. 2cm, altura de 10cm, inclusive polimento, corte/ colagem em meia esquadria e massa plástica na cor da pedra</t>
  </si>
  <si>
    <t>Bacia sanitária (vaso) de louça com caixa acoplada, cor branca, inclusive acessórios de fixação/vedação, engate flexível metálico, fornecimento, instalação e rejuntamento</t>
  </si>
  <si>
    <t>Bacia sanitária (vaso) de louça convencional, acessível (PCR/PMR), cor branca, com instalação de sóculo na base da bacia acompanhando a projeção da base, não ultrapassando altura de 5cm, altura máxima de 46cm (bacia+assento), inclusive acessórios de fixação/vedação, válvula de descarga metálica com acionamento duplo, tubo de ligação de latão com canopla, fornecimento, instalação e rejuntamento, exclusive assento</t>
  </si>
  <si>
    <t>Chuveiro elétrico branco, tensão 127v/220v, potência 4600w/5500w, inclusive braço, fornecimento e instalação</t>
  </si>
  <si>
    <t>Lavatório de louça branca sem coluna, tamanho médio, inclusive acessórios de fixação, válvula de escoamento de metal com acabamento cromado, sifão de metal tipo copo com acabamento cromado, fornecimento, instalação e rejuntamento, exclusive torneira e engate flexível</t>
  </si>
  <si>
    <t>Cuba em aço inoxidável de embutir, AISI 304, aplicação para pia (560x330x115mm), número 2, assentamento em bancada, inclusive válvula de escoamento de metal com acabamento cromado, sifão de metal tipo copo com acabamento cromado, fornecimento e instalação</t>
  </si>
  <si>
    <t>Tanque de louça branca com coluna, capacidade 22 litros, inclusive acessórios de fixação, válvula de escoamento de metal com acabamento cromado, sifão de metal tipo copo com acabamento cromado, fornecimento, instalação e rejuntamento, exclusive torneira</t>
  </si>
  <si>
    <t>Torneira metálica para pia, bica móvel, abertura 1/4 de volta, acabamento cromado, com arejador, aplicação de mesa, inclusive engate flexível metálico, fornecimento e instalação</t>
  </si>
  <si>
    <t>Torneira metálica para lavatório, abertura 1/4 de volta, acabamento cromado, com arejador, aplicação de mesa, inclusive engate flexível metálico, fornecimento e instalação</t>
  </si>
  <si>
    <t>Torneira metálica para tanque, acabamento cromado, bico com rosca, fornecimento e instalação</t>
  </si>
  <si>
    <t>Assento branco para vaso</t>
  </si>
  <si>
    <t>Assento para vaso PNE (NBR 9050)</t>
  </si>
  <si>
    <t>Barra de apoio em aço inox polido reta, DN 1.1/4" (31,75mm) , para acessibilidade (PMR/PCR), comprimento 80cm, instalado em parede, inclusive fornecimento, instalação e acessórios para fixação</t>
  </si>
  <si>
    <t>Barra de apoio em aço inox polido para lavatório de canto, DN 1.1/4" (31,75mm), para acessibilidade (PMR/PCR), instalado em parede, inclusive fornecimento, instalação e acessórios para fixação</t>
  </si>
  <si>
    <t>Banco articulado em aço inox com cantos arredondados, profundidade mínima de 0,45 m e comprimento mínimo de 0,70 m, conforme NBR 9050</t>
  </si>
  <si>
    <t>Espelho cristal, dimensão (60x90)cm, com esp. 4mm, em acabamento lapidado, inclusive fixação com parafuso tipo finesson, fornecimento e instalação</t>
  </si>
  <si>
    <t>Porta de abrir, madeira de lei prancheta para pintura completa 80 x 210 cm, com ferragens em ferro latonado</t>
  </si>
  <si>
    <t>Porta de abrir, madeira de lei prancheta para pintura completa 70 x 210 cm, com ferragens em ferro latonado</t>
  </si>
  <si>
    <t>Porta em perfil e chapa metálica</t>
  </si>
  <si>
    <t>Fornecimento e assentamento de janela de correr em ferro</t>
  </si>
  <si>
    <t>Fornecimento e assentamento de janela em ferro, tipo maxim-ar, inclusive ferragens e acessórios</t>
  </si>
  <si>
    <t>Vidro comum liso incolor, esp. 4mm, inclusive fixação e vedação com guarnição/gaxeta de borracha neoprene, fornecimento e instalação, exclusive caixilho/perfil</t>
  </si>
  <si>
    <t>Preparação para emassamento ou pintura (látex/ acrílica) em parede, inclusive uma (1) demão de selador acrílico</t>
  </si>
  <si>
    <t>Pintura acrílica em parede, duas (2) demãos, exclusive selador acrílico e massa acrílica/corrida (pva)</t>
  </si>
  <si>
    <t>Pintura acrílica em teto, duas (2) demãos, exclusive selador acrílico e massa acrílica/corrida (pva)</t>
  </si>
  <si>
    <t>Pintura com verniz sintético marítimo em esquadrias de madeira, duas (2) demãos, acabamento tipo acetinado (brilho sútil)</t>
  </si>
  <si>
    <t>Pintura esmalte em esquadrias de ferro, duas (2) demãos, inclusive uma (1) demão de fundo anticorrosivo</t>
  </si>
  <si>
    <t>Ponto de embutir para água fria em tubo de PVC rígido soldável, DN 20mm (1/2"), embutido na alvenaria com distância de até cinco (5) metros da tomada de água, inclusive conexões e fixação do tubo com enchimento do rasgo na alvenaria/concreto com argamassa</t>
  </si>
  <si>
    <t>Registro de gaveta, tipo base, roscável 3/4" (para tubo soldável ou PPR DN 25mm/CPVC DN 22mm), inclusive acabamento (padrão médio) e canopla cromado</t>
  </si>
  <si>
    <t>Registro de pressão, tipo base, roscável 3/4" (para tubo soldável ou PPR DN 25mm/CPVC DN 22mm), inclusive acabamento (padrão médio) e canopla cromados</t>
  </si>
  <si>
    <t>Registro de esfera, tipo pvc soldável DN 25mm (3/4"), inclusive volante para acionamento</t>
  </si>
  <si>
    <t>Caixa d´água de polietileno, capacidade de 500l, inclusive tampa, torneira de boia, extravasor, tubo de limpeza e acessórios, exclusive tubulação de entrada/ saída de água</t>
  </si>
  <si>
    <t>Kit cavalete para medição de água, embutido em alvenaria, em aço galvanizado DN 25mm (3/4") - padrão concessionária local, exclusive hidrômetro</t>
  </si>
  <si>
    <t>Ponto de embutir para esgoto em tubo pvc rígido, PB - série normal, DN 40mm (1.1/2"), embutido na alvenaria/piso, com altura (saída) de 50cm do piso, com distância de até cinco (5) metros da ramal de esgoto, exclusive escavação, inclusive conexões e fixação do tubo com enchimento do rasgo na alvenaria/concreto com argamassa</t>
  </si>
  <si>
    <t>Ponto de embutir para esgoto em tubo pvc rígido, PBV - série normal, DN 100mm (4"), embutido em piso com distância de até cinco (5) metros do ramal de esgoto, inclusive conexões e fixação do tubo com enchimento do rasgo no concreto com argamassa</t>
  </si>
  <si>
    <t>Ponto de embutir para esgoto em tubo pvc rígido, PBV - série normal, DN 50mm (2"), embutido em piso com distância de até cinco (5) metros do ramal de esgoto, exclusive escavação, inclusive conexões e fixação do tubo com enchimento do rasgo no concreto com argamassa</t>
  </si>
  <si>
    <t>Caixa sifonada em pvc com grelha quadrada150 x 150 x 50 mm</t>
  </si>
  <si>
    <t>Ralo seco pvc quadrado 100 x 53 x 40 mm com grelha branca</t>
  </si>
  <si>
    <t>Fornecimento e assentamento de tubo pvc rígido, drenagem/pluvial, PBV - série normal, dn 100 mm (4"), inclusive conexões</t>
  </si>
  <si>
    <t>Caixa de passagem em alvenaria e tampa de concreto, fundo de brita, tipo 1, 50 x 50 x 60 cm, inclusive escavação, reaterro e bota-fora</t>
  </si>
  <si>
    <t>Cabo de cobre flexível, classe 5, isolamento tipo lshf/atox, não halogenado, antichama, termoplástico, unipolar, seção 10 mm2, 70°c, 450/750v - preto</t>
  </si>
  <si>
    <t>Caixa de ligação/passagem em pvc rígido para eletroduto, dimensões 4"x2", embutida em alvenaria - fornecimento e instalação</t>
  </si>
  <si>
    <t>Eletroduto flexível corrugado, pvc, anti-chama, dn 25mm (3/4"), aplicado em alvenaria, inclusive rasgo</t>
  </si>
  <si>
    <t>Cabo de cobre flexível isolado, 1,5 mm², anti-chama 0,6/1,0 kv, para circuitos terminais - fornecimento e instalação. Af_12/2015 - cor preto</t>
  </si>
  <si>
    <t>Cabo de cobre flexível isolado, 2,5 mm², anti-chama 0,6/1,0 kv, para circuitos terminais - fornecimento e instalação. Af_12/2015 - cor preto</t>
  </si>
  <si>
    <t>Conjunto de uma (1) tomada padrão, três (3) polos, corrente 20a, tensão 250v, (2p+t/20a-250v), com placa 4"x2" de um (1) posto, inclusive fornecimento, instalação, suporte, módulo e placa</t>
  </si>
  <si>
    <t>Conjunto de uma (1) tomada padrão, três (3) polos, corrente 10a, tensão 250v, (2p+t/10a-250v), com placa 4"x2" de um (1) posto, inclusive fornecimento, instalação, suporte, módulo e placa</t>
  </si>
  <si>
    <t>Conjunto de um (1) interruptor simples, corrente 10a, tensão 250v, (10a-250v) e um (1) interruptor paralelo, corrente 10a, tensão 250v, (10a-250v), com placa 4"x2" de dois (2) postos, inclusive fornecimento, instalação, suporte, módulo e placa</t>
  </si>
  <si>
    <t>Conjunto de um (1) interruptor paralelo, corrente 10a, tensão 250v, (10a-250v), com placa 4"x2" de um (1) posto, inclusive fornecimento, instalação, suporte, módulo e placa</t>
  </si>
  <si>
    <t>Conjunto de um (1) interruptor simples, corrente 10a, tensão 250v, (10a-250v), com placa 4"x2" de um (1) posto, inclusive fornecimento, instalação, suporte, módulo e placa</t>
  </si>
  <si>
    <t>Disjuntor monopolar termomagnético 5ka, de 20a</t>
  </si>
  <si>
    <t>Disjuntor bipolar termomagnético 5ka, de 40a</t>
  </si>
  <si>
    <t>Disjuntor bipolar termomagnético 10ka, de 35a</t>
  </si>
  <si>
    <t>Disjuntor monopolar termomagnético 5ka, de 10a</t>
  </si>
  <si>
    <t>Supressor de surto para proteção primária em qgd, até 1,5 kv - 5 ka</t>
  </si>
  <si>
    <t>Eletroduto flexível corrugado, pvc, dn 25 mm (3/4"), para circuitos terminais, instalado em parede - fornecimento e instalação. Af_12/2015</t>
  </si>
  <si>
    <t>Luminária arandela tipo tartaruga blindada completa, para uma (1) lâmpada fluorescente compacta 20w, fornecimento e instalação, inclusive base e lâmpada</t>
  </si>
  <si>
    <t>Luminária plafon redondo de vidro jateado redondo completa, diâmetro 25 cm, para uma (1) lâmpada led, potência 15w, bulbo a65, fornecimento e instalação, inclusive base e lâmpada</t>
  </si>
  <si>
    <t>Caixa de passagem em chapa de aço, embutir 230 x 230 x 102 mm</t>
  </si>
  <si>
    <t>Eletroduto flexível corrugado, pvc, anti-chama, dn 32mm (1"), aplicado em alvenaria, inclusive rasgo</t>
  </si>
  <si>
    <t>SINAPI
(FEV/2023)</t>
  </si>
  <si>
    <t>Extintor de incêndio tipo pó químico 2-A:20-B:C, capacidade 6 kg</t>
  </si>
  <si>
    <t>PÇ</t>
  </si>
  <si>
    <t>Luminária de emergência, com 30 lâmpadas led de 2 w, sem reator - fornecimento e instalação. Af_02/2020</t>
  </si>
  <si>
    <t>Placa fotoluminescente "S8" - 380 x 190 mm (saída rampa esquerda)</t>
  </si>
  <si>
    <t>Placa fotoluminescente "S12" - 380 x 190 mm (saída)</t>
  </si>
  <si>
    <t>Re-bar 10mm x 3m com 3 clips para emenda 8-10mm</t>
  </si>
  <si>
    <t>Caixa de equalização de embutir com saidas nas partes superior e inferior para eletroduto de 25mm (1"), 20 x 20 x 14 mm, com nove terminais</t>
  </si>
  <si>
    <t>Cabo de cobre nu #35mm2 - 7 fiosx2,50mm, para elementos de captação/ anel de cintamento/ descida (spda), inclusive suporte e isolador</t>
  </si>
  <si>
    <t>Terminal a compressao em cobre estanhado 1 furo para cabo 50 mm2</t>
  </si>
  <si>
    <t>Conector estanhado com pino m12 para aterrinser e cabos 16 a 70mm²</t>
  </si>
  <si>
    <t>Conector aterrinsert para rebars ø 8-10mm com disco em latão e rosca fêmea M12</t>
  </si>
  <si>
    <t>Fixador universal de spda estanhado de 16-35mm²</t>
  </si>
  <si>
    <t xml:space="preserve">Conector de pressão tipo split-bolt em latão estanhado </t>
  </si>
  <si>
    <t xml:space="preserve">Clips para emenda ref.: tel- 5238 </t>
  </si>
  <si>
    <t xml:space="preserve">Minicaptor em latão sextavado com conector e rosca soberba h=250 x dn 10mm </t>
  </si>
  <si>
    <t xml:space="preserve">Conector mini-gar ref.: tel-583  </t>
  </si>
  <si>
    <t>Parafuso em aço inox 4,2x32mm ref.: tel-5333</t>
  </si>
  <si>
    <t>Bucha de nylon nº6</t>
  </si>
  <si>
    <t>Presilha para cabo de cobre 35mm²</t>
  </si>
  <si>
    <t>Fixador universal com parafuso autoperfurante sextavado para conexão de pilar metálico com estruturas metálicas do telhado. Tel-5024</t>
  </si>
  <si>
    <t>Eletroduto flexível corrugado, pvc, anti-chama, dn 25mm (3/4"), aplicado em alvenaria, exclusive rasgo</t>
  </si>
  <si>
    <t>Cabo coaxial rg-59, impedância 75 OHM, condutor em fio de cobre nu, blindagem trança formada por fios de cobre malha 90%</t>
  </si>
  <si>
    <t>Caixa de passagem em chapa de aço, embutir 153 x 153 x 82 mm</t>
  </si>
  <si>
    <t>Conjunto de uma (1) tomada de antena (conector coaxial), com placa 4"x2" de um (1) posto, inclusive fornecimento, instalação, suporte, módulo e placa</t>
  </si>
  <si>
    <t>Engradamento para telhado de fibrocimento ondulada</t>
  </si>
  <si>
    <t>Cobertura em telha de fibrocimento estrutural, esp. 8mm, com recobrimento transversal e longitudinal, exclusive cumeeira, inclusive acessórios de fixação e içamento</t>
  </si>
  <si>
    <t>Rufo e contrarrufo em chapa galvanizada, esp. 0,5mm ( gsg-26), com desenvolvimento de 20cm, inclusive içamento manual vertical</t>
  </si>
  <si>
    <t>Chapim em chapa galvanizada, com pingadeira, esp. 0, 65mm (gsg-24), com desenvolvimento de 35cm, inclusive içamento manual vertical</t>
  </si>
  <si>
    <t>Corrimão simples em tubo de aço inox d = 1 1/2" - fixado em alvenaria</t>
  </si>
  <si>
    <t>Passeios de concreto e = 8 cm, fck = 15 MPa padrão prefeitura</t>
  </si>
  <si>
    <t>Custo direto da obra
(com BDI)</t>
  </si>
  <si>
    <t>Custo direto da obra
(sem BDI)</t>
  </si>
  <si>
    <t>Mobilização e desmobilização de obra - para obras com o valor até R$1.000.000,00 - 0,5% do custo direto da obra</t>
  </si>
  <si>
    <t>COZINHA</t>
  </si>
  <si>
    <t>Mobilização e desmobilização de obra em centro urbano ou região limítrofe com valor acima de 3.000.000,00</t>
  </si>
  <si>
    <t>001.01</t>
  </si>
  <si>
    <t>001.02</t>
  </si>
  <si>
    <t>Custo unitário mínimo</t>
  </si>
  <si>
    <t>006.1</t>
  </si>
  <si>
    <t>006.2</t>
  </si>
  <si>
    <t>006.3</t>
  </si>
  <si>
    <t>007.1</t>
  </si>
  <si>
    <t>007.2</t>
  </si>
  <si>
    <t>007.3</t>
  </si>
  <si>
    <t>008.1</t>
  </si>
  <si>
    <t>008.2</t>
  </si>
  <si>
    <t>008.3</t>
  </si>
  <si>
    <r>
      <rPr>
        <b/>
        <sz val="14"/>
        <color theme="1"/>
        <rFont val="Arial"/>
        <family val="2"/>
      </rPr>
      <t xml:space="preserve"> PREFEITURA MUNICIPAL DE NOVA ERA
</t>
    </r>
    <r>
      <rPr>
        <b/>
        <sz val="11"/>
        <color theme="1"/>
        <rFont val="Arial"/>
        <family val="2"/>
      </rPr>
      <t>Secretaria de Obras e Serviços Urbanos</t>
    </r>
  </si>
  <si>
    <t xml:space="preserve">TOTAL </t>
  </si>
  <si>
    <t>Execução do gabarito a 1 metro da obra -  bloco 7</t>
  </si>
  <si>
    <t>Blocos de coroamento - bloco 1, 2, 3, 4, 5, 6 e 7</t>
  </si>
  <si>
    <t>Vigamento baldrame - conforme projeto estrutural bloco 1, 2, 3, 4, 5, 6 e 7</t>
  </si>
  <si>
    <t>Conforme projeto estrutural - bloco 1, 2, 3, 4, 5, 6 e 7</t>
  </si>
  <si>
    <t>Conforme projeto estrutural - 1ª laje - blocos 1, 2, 3, 4, 5, 6 e 7</t>
  </si>
  <si>
    <t>Conforme projeto estrutural - 2ª laje - blocos 1, 2, 3, 4, 5, 6 e 7</t>
  </si>
  <si>
    <t>Conforme projeto estrutural - 3ª laje - blocos 1, 2, 3, 4, 5, 6 e 7</t>
  </si>
  <si>
    <t>Conforme projeto estrutural - 4ª laje - blocos 1, 2, 3 ,4, 5, 6 e 7</t>
  </si>
  <si>
    <t>Conforme projeto estrutural - 5ª laje - blocos 1, 2, 3, 4, 5, 6 e 7</t>
  </si>
  <si>
    <t>Conforme projeto estrutural - escadas - blocos 1, 2, 3, 4, 5, 6 e 7</t>
  </si>
  <si>
    <t>Conforme projeto estrutural - estacas   - blocos 1, 2, 3, 4, 5, 6 e 7</t>
  </si>
  <si>
    <t>Conforme projeto estrutural -blocos  - blocos 1, 2, 3, 4, 5, 6 e 7</t>
  </si>
  <si>
    <t>Conforme projeto estrutural - vigamento baldrame  - blocos 1, 2, 3, 4, 5, 6 e 7</t>
  </si>
  <si>
    <t>Conforme projeto estrutural - 4ª laje - blocos 1, 2 ,3, 4, 5, 6 e 7</t>
  </si>
  <si>
    <t>Conforme projeto estrutural - 1ª laje  - blocos 1, 2, 3, 4, 5, 6 e 7</t>
  </si>
  <si>
    <t>Conforme projeto estrutural - 2ª laje  - blocos 1, 2, 3, 4, 5, 6 e 7</t>
  </si>
  <si>
    <t>Conforme projeto estrutural - 3ª laje  - blocos 1, 2, 3, 4, 5, 6 e 7</t>
  </si>
  <si>
    <t>Conforme projeto estrutural - 4ª laje  - blocos  1, 2, 3, 4, 5, 6 e 7</t>
  </si>
  <si>
    <t>Conforme projeto estrutural - 5ª laje  - blocos 1, 2, 3, 4, 5, 6 e 7</t>
  </si>
  <si>
    <t>Conforme projeto estrutural - pilares - blocos 1, 2, 3, 4, 5, 6 e 7</t>
  </si>
  <si>
    <t>Conforme projeto estrutural - 4ª laje - blocos 1, 2, 3, 4, 5, 6 e 7</t>
  </si>
  <si>
    <t>Conforme projeto estrutural - 5ª laje - blocos  1, 2, 3, 4, 5, 6 e 7</t>
  </si>
  <si>
    <t>Apartamento 101 - blocos 1, 2, 3, 4, 5, 6 e 7</t>
  </si>
  <si>
    <t>Apartamento 102 - blocos 1, 2, 3, 4, 5, 6 e 7</t>
  </si>
  <si>
    <t>Apartamento 103 - blocos 1, 2, 3, 4, 5, 6 e 7</t>
  </si>
  <si>
    <t>Apartamento 104 - blocos 1, 2, 3, 4, 5, 6 e 7</t>
  </si>
  <si>
    <t>Apartamento 201 - blocos 1, 2, 3, 4, 5, 6 e 7</t>
  </si>
  <si>
    <t>Apartamento 202 - blocos 1, 2, 3, 4, 5, 6 e 7</t>
  </si>
  <si>
    <t>Apartamento 203 - blocos 1, 2, 3, 4, 5, 6 e 7</t>
  </si>
  <si>
    <t>Apartamento 204 - blocos 1, 2, 3, 4, 5, 6 e 7</t>
  </si>
  <si>
    <t>Apartamento 301 - blocos 1, 2, 3, 4, 5, 6 e 7</t>
  </si>
  <si>
    <t>Apartamento 302  - blocos 1, 2, 3, 4, 5, 6 e 7</t>
  </si>
  <si>
    <t>Apartamento 303 - blocos 1, 2, 3, 4, 5, 6 e 7</t>
  </si>
  <si>
    <t>Apartamento 304 - blocos 1, 2, 3, 4, 5, 6 e 7</t>
  </si>
  <si>
    <t>Apartamento 401 - blocos 1, 2, 3, 4, 5, 6 e 7</t>
  </si>
  <si>
    <t>Apartamento 402 - blocos 1, 2, 3, 4, 5, 6 e 7</t>
  </si>
  <si>
    <t>Apartamento 403 - blocos 1, 2, 3, 4, 5, 6 e 7</t>
  </si>
  <si>
    <t xml:space="preserve">Apartamento 404 - blocos 1, 2, 3, 4, 5, 6 e 7 </t>
  </si>
  <si>
    <t>Apartamento 404 - blocos 1, 2, 3, 4, 5, 6 e 7</t>
  </si>
  <si>
    <t xml:space="preserve">Bloco de coroamento - blocos 1, 2, 3, 4, 5, 6 e 7 </t>
  </si>
  <si>
    <t>Conforme projeto estrutural - V1 - blocos 1, 2, 3, 4, 5, 6 e 7</t>
  </si>
  <si>
    <t>Conforme projeto estrutural - V2 - blocos 1, 2, 3, 4, 5, 6 e 7</t>
  </si>
  <si>
    <t>Conforme projeto estrutural - V3 - blocos 1, 2, 3, 4, 5, 6 e 7</t>
  </si>
  <si>
    <t>Conforme projeto estrutural - V4 - blocos 1, 2, 3, 4, 5, 6 e 7</t>
  </si>
  <si>
    <t>Conforme projeto estrutural - V5 - blocos 1, 2, 3, 4, 5, 6 e 7</t>
  </si>
  <si>
    <t>Conforme projeto estrutural - V6 - blocos 1, 2, 3, 4, 5, 6 e 7</t>
  </si>
  <si>
    <t>Conforme projeto estrutural - V7 - blocos 1, 2, 3, 4, 5, 6 e 7</t>
  </si>
  <si>
    <t>Conforme projeto estrutural - V8 - blocos 1, 2, 3, 4, 5, 6 e 7</t>
  </si>
  <si>
    <t>Conforme projeto estrutural - V9 - blocos 1, 2, 3, 4, 5, 6 e 7</t>
  </si>
  <si>
    <t>Conforme projeto estrutural - V10 - blocos 1, 2, 3, 4, 5, 6 e 7</t>
  </si>
  <si>
    <t>Conforme projeto estrutural - V11 - blocos 1, 2, 3, 4, 5, 6 e 7</t>
  </si>
  <si>
    <t>Conforme projeto estrutural - V12 - blocos 1, 2, 3, 4, 5, 6 e 7</t>
  </si>
  <si>
    <t>Conforme projeto estrutural - V13 - blocos 1, 2, 3, 4, 5, 6 e 7</t>
  </si>
  <si>
    <t>Conforme projeto estrutural - V14 - blocos 1, 2, 3, 4, 5, 6 e 7</t>
  </si>
  <si>
    <t>Conforme projeto estrutural - V15 - blocos 1, 2, 3, 4, 5, 6 e 7</t>
  </si>
  <si>
    <t>Conforme projeto estrutural - V16 - blocos 1, 2, 3, 4, 5, 6 e 7</t>
  </si>
  <si>
    <t>Conforme projeto estrutural - V17 - blocos 1, 2, 3, 4, 5, 6 e 7</t>
  </si>
  <si>
    <t>Conforme projeto estrutural - V18 - blocos 1, 2, 3, 4, 5, 6 e 7</t>
  </si>
  <si>
    <t>Conforme projeto estrutural - V19- blocos 1, 2, 3, 4, 5, 6 e 7</t>
  </si>
  <si>
    <t>Conforme projeto estrutural - V20 - blocos 1, 2, 3, 4, 5, 6 e 7</t>
  </si>
  <si>
    <t>Conforme projeto estrutural - V21 - blocos 1, 2, 3, 4, 5, 6 e 7</t>
  </si>
  <si>
    <t>Conforme projeto estrutural - V22 - blocos 1, 2, 3, 4, 5, 6 e 7</t>
  </si>
  <si>
    <t>Conforme projeto estrutural - V23 - blocos 1, 2, 3, 4, 5, 6 e 7</t>
  </si>
  <si>
    <t>Conforme projeto estrutural - V24 - blocos 1, 2, 3, 4, 5, 6 e 7</t>
  </si>
  <si>
    <t>Conforme projeto estrutural - V25 - blocos 1, 2, 3, 4, 5, 6 e 7</t>
  </si>
  <si>
    <t>Conforme projeto estrutural - V26 - blocos 1, 2, 3, 4, 5, 6 e 7</t>
  </si>
  <si>
    <t>Conforme projeto estrutural - V27 - blocos 1, 2, 3, 4, 5, 6 e 7</t>
  </si>
  <si>
    <t>Conforme projeto estrutural - V28 - blocos 1, 2, 3, 4, 5, 6 e 7</t>
  </si>
  <si>
    <t>Conforme projeto estrutural - V29 - blocos 1, 2, 3, 4, 5, 6 e 7</t>
  </si>
  <si>
    <t>Conforme projeto estrutural - V30 - blocos 1, 2, 3, 4, 5, 6 e 7</t>
  </si>
  <si>
    <t>Conforme projeto estrutural - V31 - blocos 1, 2, 3, 4, 5, 6 e 7</t>
  </si>
  <si>
    <t>Conforme projeto estrutural - V32 - blocos 1, 2, 3, 4, 5, 6 e 7</t>
  </si>
  <si>
    <t>Conforme projeto estrutural - V33 - blocos 1, 2, 3, 4, 5, 6 e 7</t>
  </si>
  <si>
    <t>Conforme projeto estrutural - V34 - blocos 1, 2, 3, 4, 5, 6 e 7</t>
  </si>
  <si>
    <t>Conforme projeto estrutural - V35- blocos 1, 2, 3, 4, 5, 6 e 7</t>
  </si>
  <si>
    <t>1º andar  - paredes horizontais bloco 1, 2, 3, 4, 5, 6 e 7</t>
  </si>
  <si>
    <t>1º andar  - paredes verticais - blocos 1, 2, 3, 4, 5, 6 e 7</t>
  </si>
  <si>
    <t>2º andar  - paredes horizontais - blocos 1, 2, 3, 4, 5, 6 e 7</t>
  </si>
  <si>
    <t>2º andar  - paredes verticais - blocos 1, 2, 3, 4, 5, 6 e 7</t>
  </si>
  <si>
    <t>3º andar  - paredes horizontais - blocos 1, 2, 3, 4, 5, 6 e 7</t>
  </si>
  <si>
    <t>3º andar  - paredes verticais - blocos 1, 2, 3, 4, 5, 6 e 7</t>
  </si>
  <si>
    <t xml:space="preserve">4º andar  - paredes horizontais - blocos 1, 2, 3, 4, 5, 6 e 7 </t>
  </si>
  <si>
    <t>4º andar  - paredes verticais - blocos 1, 2, 3, 4, 5, 6 e 7</t>
  </si>
  <si>
    <t>Caixa d'água - paredes horizontais - blocos 1, 2, 3, 4, 5, 6 e 7</t>
  </si>
  <si>
    <t>Caixa d'água - paredes verticais - blocos 1, 2, 3, 4, 5, 6 e 7</t>
  </si>
  <si>
    <t>Platibanda - blocos 1, 2, 3, 4, 5, 6 e 7</t>
  </si>
  <si>
    <t>1º andar  - paredes horizontais - blocos 1, 2, 3, 4, 5, 6 e 7</t>
  </si>
  <si>
    <t>Conforme projeto estrutural - V3 - blocos  1, 2, 3, 4, 5, 6 e 7</t>
  </si>
  <si>
    <t>Conforme projeto estrutural - V5 - blocos  1, 2, 3, 4, 5, 6 e 7</t>
  </si>
  <si>
    <t>Conforme projeto estrutural - V6 - blocos  1, 2, 3, 4, 5, 6 e 7</t>
  </si>
  <si>
    <t>Conforme projeto estrutural - V7 - blocos  1, 2, 3, 4, 5, 6 e 7</t>
  </si>
  <si>
    <t>Conforme projeto estrutural - V8 - blocos  1, 2, 3, 4, 5, 6 e 7</t>
  </si>
  <si>
    <t>Conforme projeto estrutural - V9 - blocos  1, 2, 3, 4, 5, 6 e 7</t>
  </si>
  <si>
    <t>Conforme projeto estrutural - V10 - blocos  1, 2, 3, 4, 5, 6 e 7</t>
  </si>
  <si>
    <t>Conforme projeto estrutural - V11 - blocos  1, 2, 3, 4, 5, 6 e 7</t>
  </si>
  <si>
    <t>Conforme projeto estrutural - V12 - blocos  1, 2, 3, 4, 5, 6 e 7</t>
  </si>
  <si>
    <t>Conforme projeto estrutural - V13 - blocos  1, 2, 3, 4, 5, 6 e 7</t>
  </si>
  <si>
    <t>Conforme projeto estrutural - V14 - blocos  1, 2, 3, 4, 5, 6 e 7</t>
  </si>
  <si>
    <t>Conforme projeto estrutural - V15 - blocos  1, 2, 3, 4, 5, 6 e 7</t>
  </si>
  <si>
    <t>Conforme projeto estrutural - V16 - blocos  1, 2, 3, 4, 5, 6 e 7</t>
  </si>
  <si>
    <t>Conforme projeto estrutural - V18 - blocos  1, 2, 3, 4, 5, 6 e 7</t>
  </si>
  <si>
    <t>Conforme projeto estrutural - V19 - blocos  1, 2, 3, 4, 5, 6 e 7</t>
  </si>
  <si>
    <t>Conforme projeto estrutural - V20 - blocos  1, 2, 3, 4, 5, 6 e 7</t>
  </si>
  <si>
    <t>Conforme projeto estrutural - V21 - blocos  1, 2, 3, 4, 5, 6 e 7</t>
  </si>
  <si>
    <t>Conforme projeto estrutural - V25 - blocos  1, 2, 3, 4, 5, 6 e 7</t>
  </si>
  <si>
    <t>Conforme projeto estrutural - V26 - blocos  1, 2, 3, 4, 5, 6 e 7</t>
  </si>
  <si>
    <t>Conforme projeto estrutural - V27 - blocos  1, 2, 3, 4, 5, 6 e 7</t>
  </si>
  <si>
    <t>Conforme projeto estrutural - V28 - blocos  1, 2, 3, 4, 5, 6 e 7</t>
  </si>
  <si>
    <t>Conforme projeto estrutural - V29 - blocos  1, 2, 3, 4, 5, 6 e 7</t>
  </si>
  <si>
    <t>Conforme projeto estrutural - V30 - blocos  1, 2, 3, 4, 5, 6 e 7</t>
  </si>
  <si>
    <t>Conforme projeto estrutural - V31 - blocos  1, 2, 3, 4, 5, 6 e 7</t>
  </si>
  <si>
    <t>Conforme projeto estrutural - V34 - blocos  1, 2, 3, 4, 5, 6 e 7</t>
  </si>
  <si>
    <t>Conforme projeto estrutural - V35 - blocos  1, 2, 3, 4, 5, 6 e 7</t>
  </si>
  <si>
    <t>Fundos dos blocos - blocos 1, 2, 3, 4, 5, 6 e 7</t>
  </si>
  <si>
    <t>Apartamento 101 - blocos  1, 2, 3, 4, 5, 6 e 7</t>
  </si>
  <si>
    <t>Apartamento 102 - blocos  1, 2, 3, 4, 5, 6 e 7</t>
  </si>
  <si>
    <t>Apartamento 103 - blocos  1, 2, 3, 4, 5, 6 e 7</t>
  </si>
  <si>
    <t>Apartamento 104 - blocos  1, 2, 3, 4, 5, 6 e 7</t>
  </si>
  <si>
    <t>Hall 1º andar + espelhos degraus escada - blocos  1, 2, 3, 4, 5, 6 e 7</t>
  </si>
  <si>
    <t>Hall 2º andar + espelhos degraus escada - blocos 1, 2, 3, 4, 5, 6 e 7</t>
  </si>
  <si>
    <t>Apartamento 302 - blocos 1, 2, 3, 4, 5, 6 e 7</t>
  </si>
  <si>
    <t>Hall 3º andar + espelhos degraus escada - blocos 1, 2, 3, 4, 5, 6 e 7</t>
  </si>
  <si>
    <t>Hall 4º andar - blocos  1, 2, 3, 4, 5, 6 e 7</t>
  </si>
  <si>
    <t xml:space="preserve">Apartamento 104 - blocos 1, 2, 3, 4, 5, 6 e 7 </t>
  </si>
  <si>
    <t xml:space="preserve">Hall 1º andar + espelhos degraus escada - blocos 1, 2, 3, 4, 5, 6 e 7 </t>
  </si>
  <si>
    <t xml:space="preserve">Hall 3º andar + espelhos degraus escada - blocos 1, 2, 3, 4, 5, 6 e 7 </t>
  </si>
  <si>
    <t>Entrada  - blocos 1, 2, 3, 4, 5, 6 e 7</t>
  </si>
  <si>
    <t>Hall escadas - blocos 1, 2, 3, 4, 5, 6 e 7</t>
  </si>
  <si>
    <t>Caixa d'água - paredes horizontais internas - blocos 1, 2, 3, 4, 5, 6 e 7</t>
  </si>
  <si>
    <t>Caixa d'água - paredes horizontais externas - blocos 1, 2, 3, 4, 5, 6 e 7</t>
  </si>
  <si>
    <t>Caixa d'água - paredes verticais  internas - blocos 1, 2, 3, 4, 5, 6 e 7</t>
  </si>
  <si>
    <t>Caixa d'água - paredes verticais  externas - blocos 1, 2, 3, 4, 5, 6 e 7</t>
  </si>
  <si>
    <t>Platibanda interna - blocos 1, 2, 3, 4, 5, 6 e 7</t>
  </si>
  <si>
    <t>Paredes externas - blocos 1, 2, 3, 4, 5, 6 e 7</t>
  </si>
  <si>
    <t xml:space="preserve"> Apartamento 402 - blocos 1, 2, 3, 4, 5, 6 e 7</t>
  </si>
  <si>
    <t>1º hall escadas - blocos 1, 2, 3, 4, 5, 6 e 7</t>
  </si>
  <si>
    <t>2º hall escadas - blocos 1, 2, 3, 4, 5, 6 e 7</t>
  </si>
  <si>
    <t>3º hall escadas - blocos 1, 2, 3, 4, 5, 6 e 7</t>
  </si>
  <si>
    <t>4º hall escadas - blocos  1, 2, 3, 4, 5, 6 e 7</t>
  </si>
  <si>
    <t>1º Hall de escadas - bloco 1, 2, 3, 4, 5, 6 e 7</t>
  </si>
  <si>
    <t>Apartamento 203- blocos 1, 2, 3, 4, 5, 6 e 7</t>
  </si>
  <si>
    <t>2º Hall de escadas - bloco 1, 2, 3, 4, 5, 6 e 7</t>
  </si>
  <si>
    <t>Apartamento 303- blocos 1, 2, 3, 4, 5, 6 e 7</t>
  </si>
  <si>
    <t>Apartamento 403- blocos 1, 2, 3, 4, 5, 6 e 7</t>
  </si>
  <si>
    <t>4º hall escadas - blocos 1, 2, 3, 4, 5, 6 e 7</t>
  </si>
  <si>
    <t>Apartamento 201 - blocos  1, 2, 3, 4, 5, 6 e 7</t>
  </si>
  <si>
    <t>Apartamento 202 - blocos  1, 2, 3, 4, 5, 6 e 7</t>
  </si>
  <si>
    <t>Apartamento 203 - blocos  1, 2, 3, 4, 5, 6 e 7</t>
  </si>
  <si>
    <t>Apartamento 204 - blocos  1, 2, 3, 4, 5, 6 e 7</t>
  </si>
  <si>
    <t>Apartamento 301 - blocos  1, 2, 3, 4, 5, 6 e 7</t>
  </si>
  <si>
    <t>Apartamento 302 - blocos  1, 2, 3, 4, 5, 6 e 7</t>
  </si>
  <si>
    <t>Apartamento 304 - blocos  1, 2, 3, 4, 5, 6 e 7</t>
  </si>
  <si>
    <t>Apartamento 401 - blocos  1, 2, 3, 4, 5, 6 e 7</t>
  </si>
  <si>
    <t>Apartamento 402 - blocos  1, 2, 3, 4, 5, 6 e 7</t>
  </si>
  <si>
    <t>Apartamento 403 - blocos  1, 2, 3, 4, 5, 6 e 7</t>
  </si>
  <si>
    <t>Apartamento 404 - blocos  1, 2, 3, 4, 5, 6 e 7</t>
  </si>
  <si>
    <t>Apartamento 103 - chuveiro - blocos 1, 2, 3, 4, 5, 6 e 7</t>
  </si>
  <si>
    <t>Apartamento 103 - vaso - blocos 1, 2, 3, 4, 5, 6 e 7</t>
  </si>
  <si>
    <t>Hall de escadas - blocos 2, 3, 4, 5, 6 e 7</t>
  </si>
  <si>
    <t>Apartamento 401 - blocos1, 2, 3, 4, 5, 6 e 7</t>
  </si>
  <si>
    <t>Apartamento 402 - blocos1, 2, 3, 4, 5, 6 e 7</t>
  </si>
  <si>
    <t>1º hall escadas  - blocos 1, 2, 3, 4, 5, 6 e 7</t>
  </si>
  <si>
    <t>Apartamento 201  - blocos 1, 2, 3, 4, 5, 6 e 7</t>
  </si>
  <si>
    <t>Apartamento 402  - blocos 1, 2, 3, 4, 5, 6 e 7</t>
  </si>
  <si>
    <t>Apartamento 403  - blocos 1, 2, 3, 4, 5, 6 e 7</t>
  </si>
  <si>
    <t>Apartamento 204 - blocos1, 2, 3, 4, 5, 6 e 7</t>
  </si>
  <si>
    <t>2º hall escadas - blocos1, 2, 3, 4, 5, 6 e 7</t>
  </si>
  <si>
    <t>Apartamento 201- blocos 1, 2, 3, 4, 5, 6 e 7</t>
  </si>
  <si>
    <t>Apartamento 402- blocos 1, 2, 3, 4, 5, 6 e 7</t>
  </si>
  <si>
    <t>Pluvial  - blocos 1, 2, 3, 4, 5, 6 e 7</t>
  </si>
  <si>
    <t>Esgoto  - blocos 1, 2, 3, 4, 5, 6 e 7</t>
  </si>
  <si>
    <t>Conforme projeto elétrico - blocos 1, 2, 3, 4, 5, 6 e 7</t>
  </si>
  <si>
    <t xml:space="preserve">Conforme projeto elétrico - blocos 1, 2, 3, 4, 5, 6 e 7 </t>
  </si>
  <si>
    <t>Conforme projeto de combate a incêndio e Pânico - blocos 1, 2, 3, 4, 5, 6 e 7</t>
  </si>
  <si>
    <t>Conforme projeto de SPDA  - blocos 1, 2, 3, 4, 5, 6 e 7</t>
  </si>
  <si>
    <t>Conforme projeto de Lógica - blocos 1, 2, 3, 4, 5, 6 e 7</t>
  </si>
  <si>
    <t xml:space="preserve">Conforme projeto de Lógica - blocos 1, 2, 3, 4, 5, 6 e 7 </t>
  </si>
  <si>
    <t>Conforme projeto de Lógica   - blocos 1, 2, 3, 4, 5, 6 e 7</t>
  </si>
  <si>
    <t>Calha laterais  - blocos 1, 2, 3, 4, 5, 6 e 7</t>
  </si>
  <si>
    <t>Calha caixa d'água - blocos 1, 2, 3, 4, 5, 6 e 7</t>
  </si>
  <si>
    <t>Telhado lado 01 - blocos 1, 2, 3, 4, 5, 6 e 7</t>
  </si>
  <si>
    <t>Telhado lado 02 - blocos 1, 2, 3, 4, 5, 6 e 7</t>
  </si>
  <si>
    <t>Telhado caixa d'água - blocos 1, 2, 3, 4, 5, 6 e 7</t>
  </si>
  <si>
    <t>Calha laterais - blocos 1, 2, 3, 4, 5, 6 e 7</t>
  </si>
  <si>
    <t>Chapim das coberturas laterais - blocos 1, 2, 3, 4, 5, 6 e 7</t>
  </si>
  <si>
    <t>Chapim cobertura caixa d'água - blocos 1, 2, 3, 4, 5, 6 e 7</t>
  </si>
  <si>
    <t>Hall escada 1º andar - blocos 1, 2, 3, 4, 5, 6 e 7</t>
  </si>
  <si>
    <t>Hall escada 2º andar - blocos 1, 2, 3, 4, 5, 6 e 7</t>
  </si>
  <si>
    <t>Hall escada 3º andar - blocos 1, 2, 3, 4, 5, 6 e 7</t>
  </si>
  <si>
    <t>Conforme projeto estrutural - vigamento nível 580 - blocos 1, 2, 3, 4, 5, 6 e 7</t>
  </si>
  <si>
    <t>Conforme projeto estrutural - vigamento nível 870 - blocos 1, 2, 3, 4, 5, 6 e 7</t>
  </si>
  <si>
    <t>Conforme projeto estrutural - vigamento nível 1160 - blocos 1, 2, 3, 4, 5, 6 e 7</t>
  </si>
  <si>
    <t>Conforme projeto estrutural - vigamento nível 290 - blocos 1, 2, 3, 4, 5, 6 e 7</t>
  </si>
  <si>
    <t>Conforme projeto estrutural - vigamento nível 1280 - blocos 1, 2, 3, 4, 5, 6 e 7</t>
  </si>
  <si>
    <t>Conforme projeto estrutural - vigamento nível 1460 - blocos 1, 2, 3, 4, 5, 6 e 7</t>
  </si>
  <si>
    <t>Conforme projeto estrutural - vigamento nível 290  - blocos 1, 2, 3, 4, 5, 6 e 7</t>
  </si>
  <si>
    <t>Conforme projeto estrutural - vigamento nível 870 - blocos 1,2,3,4,5, 6 e 7</t>
  </si>
  <si>
    <t>Conforme projeto estrutural - vigamento nível 580 - blocos 1,2,3,4,5, 6 e 7</t>
  </si>
  <si>
    <r>
      <rPr>
        <b/>
        <sz val="14"/>
        <color theme="1"/>
        <rFont val="Arial"/>
        <family val="2"/>
      </rPr>
      <t xml:space="preserve">PREFEITURA MUNICIPAL DE NOVA ERA  </t>
    </r>
    <r>
      <rPr>
        <sz val="10"/>
        <color theme="1"/>
        <rFont val="Arial"/>
        <family val="2"/>
      </rPr>
      <t xml:space="preserve">                                                                                                                                                                                                                                                               </t>
    </r>
    <r>
      <rPr>
        <b/>
        <sz val="11"/>
        <color theme="1"/>
        <rFont val="Arial"/>
        <family val="2"/>
      </rPr>
      <t>Secretaria de Obras e Serviços Urbanos</t>
    </r>
  </si>
  <si>
    <t>SETOP
(JAN/2023)</t>
  </si>
  <si>
    <t xml:space="preserve">Mobilização e desmobilização de equipamento para estaca tipo trado rotativo </t>
  </si>
  <si>
    <t>KM</t>
  </si>
  <si>
    <t>ED-29818</t>
  </si>
  <si>
    <t>Perfuração mecânica de estaca tipo trado rotativo, inclusive afastamento lateral, exclusive armação e concreto estrutural</t>
  </si>
  <si>
    <t>ED-29802</t>
  </si>
  <si>
    <t>ED-49601</t>
  </si>
  <si>
    <t>ED-50202</t>
  </si>
  <si>
    <t>ED-50362</t>
  </si>
  <si>
    <t>ED-50373</t>
  </si>
  <si>
    <t>Sala - blocos 1, 2, 3, 4, 5, 6 e 7</t>
  </si>
  <si>
    <t>Hall - blocos 1, 2, 3, 4, 5, 6 e 7</t>
  </si>
  <si>
    <t>Quarto 01 - blocos 1, 2, 3, 4, 5, 6 e 7</t>
  </si>
  <si>
    <t>Quarto 02 - blocos 1, 2, 3, 4, 5, 6 e 7</t>
  </si>
  <si>
    <t>ED-15782</t>
  </si>
  <si>
    <t>Conjunto de dois (2) interruptores simples, corrente 10a, tensão 250v, (10a-250v), com placa 4"x2" de dois (2) posto, inclusive fornecimento, instalação, suporte, módulo e placa</t>
  </si>
  <si>
    <t xml:space="preserve">Banheiro - blocos 1, 2, 3, 4, 5, 6 e 7 </t>
  </si>
  <si>
    <t xml:space="preserve">Cozinha - blocos 1, 2, 3, 4, 5, 6 e 7 </t>
  </si>
  <si>
    <t>Conjunto de uma (1) placa cega 4"x2", inclusive fornecimento, instalação, suporte e placa</t>
  </si>
  <si>
    <t xml:space="preserve">ED-15764 </t>
  </si>
  <si>
    <t>ED-15763</t>
  </si>
  <si>
    <t>Conjunto de um (1) módulo com furo para saída de fio Ø10mm, com placa 4"x2" de um (1) posto, inclusive fornecimento, instalação, suporte módulo e placa</t>
  </si>
  <si>
    <t>Calha em chapa galvanizada, esp. 0,65mm (GSG-24), com desenvolvimento de 60cm, inclusive içamento manual vertical</t>
  </si>
  <si>
    <t>Cozinha - blocos 1, 2, 3, 4, 5, 6 e 7</t>
  </si>
  <si>
    <t>Quartos 1 - blocos 1, 2, 3, 4, 5, 6 e 7</t>
  </si>
  <si>
    <t>Quarto 2 - blocos 1, 2, 3, 4, 5, 6 e 8</t>
  </si>
  <si>
    <t>Sala - blocos 1, 2, 3, 4, 5, 6 e 9</t>
  </si>
  <si>
    <t>Cozinha - blocos 1, 2, 3, 4, 5, 6 e 10</t>
  </si>
  <si>
    <t>Banheiro - blocos 1, 2, 3, 4, 5, 6 e 11</t>
  </si>
  <si>
    <t>Luminárias de emergencia - blocos 1, 2, 3, 4, 5, 6 e 12</t>
  </si>
  <si>
    <t>Construção Condomínio (112 apartamentos)</t>
  </si>
  <si>
    <t>6.10</t>
  </si>
  <si>
    <t>6.11</t>
  </si>
  <si>
    <t>Verga em concreto estrutural para vãos de até 150cm, preparado em obra com betoneira, controle "a", com fck 20 MPa, moldada in loco, inclusive armação</t>
  </si>
  <si>
    <t>ED-9904</t>
  </si>
  <si>
    <t>ED-9903</t>
  </si>
  <si>
    <t>Contraverga em concreto estrutural para vãos de até 150cm, preparado em obra com betoneira, controle "a", com fck 20 MPa, moldada in loco, inclusive armação</t>
  </si>
  <si>
    <t>PORTAS</t>
  </si>
  <si>
    <t>JANELAS</t>
  </si>
  <si>
    <t>Hall de escadas - blocos 1, 2, 3, 4, 5, 6 e 7</t>
  </si>
  <si>
    <t>Conforme projeto elétrico - blocos 1, 2, 3, 4, 5, 6 e 7 - Preto</t>
  </si>
  <si>
    <t>Conforme projeto elétrico - blocos 1, 2, 3, 4, 5, 6 e 8 - Azul</t>
  </si>
  <si>
    <t>Conforme projeto elétrico - blocos 1, 2, 3, 4, 5, 6 e 9 - Vermelho</t>
  </si>
  <si>
    <t>Conforme projeto elétrico - blocos 1, 2, 3, 4, 5, 6 e 9 - Verde</t>
  </si>
  <si>
    <t>Fornecimento de concreto estrutural, usinado bombeado, com Fck 25 MPa, inclusive lançamento, adensamento e acabamento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</si>
</sst>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44" formatCode="_-&quot;R$&quot;\ * #,##0.00_-;\-&quot;R$&quot;\ * #,##0.00_-;_-&quot;R$&quot;\ * &quot;-&quot;??_-;_-@_-"/>
    <numFmt numFmtId="43" formatCode="_-* #,##0.00_-;\-* #,##0.00_-;_-* &quot;-&quot;??_-;_-@_-"/>
    <numFmt numFmtId="164" formatCode="_(* #,##0.00_);_(* \(#,##0.00\);_(* &quot;-&quot;??_);_(@_)"/>
    <numFmt numFmtId="165" formatCode="_(* #,##0_);_(* \(#,##0\);_(* &quot;-&quot;??_);_(@_)"/>
    <numFmt numFmtId="166" formatCode="_-&quot;R$&quot;\ * #,##0.00_-;\-&quot;R$&quot;\ * #,##0.00_-;_-&quot;R$&quot;\ * &quot;-&quot;??_-;_-@"/>
    <numFmt numFmtId="167" formatCode="_(&quot;R$ &quot;* #,##0.00_);_(&quot;R$ &quot;* \(#,##0.00\);_(&quot;R$ &quot;* &quot;-&quot;??_);_(@_)"/>
    <numFmt numFmtId="168" formatCode="&quot;R$&quot;\ #,##0.00"/>
    <numFmt numFmtId="169" formatCode="_-&quot;R$&quot;* #,##0.00_-;\-&quot;R$&quot;* #,##0.00_-;_-&quot;R$&quot;* &quot;-&quot;??_-;_-@"/>
    <numFmt numFmtId="170" formatCode="0.0000000"/>
    <numFmt numFmtId="171" formatCode="0.000%"/>
    <numFmt numFmtId="172" formatCode="&quot;R$&quot;#,##0.00"/>
    <numFmt numFmtId="173" formatCode="0.00\ &quot;%&quot;"/>
    <numFmt numFmtId="174" formatCode="0.00000%"/>
  </numFmts>
  <fonts count="49" x14ac:knownFonts="1">
    <font>
      <sz val="10"/>
      <name val="Arial"/>
    </font>
    <font>
      <sz val="11"/>
      <color theme="1"/>
      <name val="Arial"/>
      <family val="2"/>
      <scheme val="minor"/>
    </font>
    <font>
      <sz val="10"/>
      <color rgb="FF000000"/>
      <name val="Arial"/>
      <family val="2"/>
    </font>
    <font>
      <sz val="10"/>
      <name val="Arial"/>
      <family val="2"/>
    </font>
    <font>
      <b/>
      <sz val="14"/>
      <color rgb="FF000000"/>
      <name val="Arial"/>
      <family val="2"/>
    </font>
    <font>
      <sz val="10"/>
      <color rgb="FF000000"/>
      <name val="Arial"/>
      <family val="2"/>
    </font>
    <font>
      <sz val="11"/>
      <color rgb="FF000000"/>
      <name val="Arial"/>
      <family val="2"/>
    </font>
    <font>
      <b/>
      <sz val="11"/>
      <color rgb="FF000000"/>
      <name val="Arial"/>
      <family val="2"/>
    </font>
    <font>
      <b/>
      <sz val="10"/>
      <color rgb="FF000000"/>
      <name val="Arial"/>
      <family val="2"/>
    </font>
    <font>
      <sz val="8"/>
      <color rgb="FF000000"/>
      <name val="Arial"/>
      <family val="2"/>
    </font>
    <font>
      <sz val="10"/>
      <color rgb="FF000000"/>
      <name val="Arial"/>
      <family val="2"/>
    </font>
    <font>
      <sz val="8"/>
      <name val="Arial"/>
      <family val="2"/>
    </font>
    <font>
      <sz val="10"/>
      <name val="Arial"/>
      <family val="2"/>
    </font>
    <font>
      <sz val="11"/>
      <color rgb="FF000000"/>
      <name val="Calibri"/>
      <family val="2"/>
    </font>
    <font>
      <sz val="11"/>
      <color rgb="FF000000"/>
      <name val="Calibri"/>
      <family val="2"/>
    </font>
    <font>
      <b/>
      <sz val="14"/>
      <color rgb="FF000000"/>
      <name val="Arial"/>
      <family val="2"/>
    </font>
    <font>
      <sz val="10"/>
      <color rgb="FFFF0000"/>
      <name val="Arial"/>
      <family val="2"/>
    </font>
    <font>
      <u/>
      <sz val="10"/>
      <color rgb="FF0000FF"/>
      <name val="Arial"/>
      <family val="2"/>
    </font>
    <font>
      <sz val="10"/>
      <color theme="1"/>
      <name val="Arial"/>
      <family val="2"/>
    </font>
    <font>
      <b/>
      <sz val="11"/>
      <color theme="1"/>
      <name val="Arial"/>
      <family val="2"/>
    </font>
    <font>
      <sz val="11"/>
      <color theme="1"/>
      <name val="Arial"/>
      <family val="2"/>
    </font>
    <font>
      <b/>
      <sz val="10"/>
      <color theme="1"/>
      <name val="Arial"/>
      <family val="2"/>
    </font>
    <font>
      <sz val="10"/>
      <color rgb="FF000000"/>
      <name val="Arial"/>
      <family val="2"/>
    </font>
    <font>
      <b/>
      <sz val="10"/>
      <name val="Arial"/>
      <family val="2"/>
    </font>
    <font>
      <b/>
      <sz val="14"/>
      <color theme="1"/>
      <name val="Arial"/>
      <family val="2"/>
    </font>
    <font>
      <sz val="9"/>
      <color rgb="FFFF0000"/>
      <name val="Arial"/>
      <family val="2"/>
    </font>
    <font>
      <b/>
      <sz val="16"/>
      <color theme="1"/>
      <name val="Arial"/>
      <family val="2"/>
    </font>
    <font>
      <b/>
      <sz val="9"/>
      <color theme="1"/>
      <name val="Arial"/>
      <family val="2"/>
    </font>
    <font>
      <sz val="9"/>
      <color theme="1"/>
      <name val="Arial"/>
      <family val="2"/>
    </font>
    <font>
      <sz val="10"/>
      <color theme="1"/>
      <name val="Arial"/>
      <family val="2"/>
      <scheme val="minor"/>
    </font>
    <font>
      <b/>
      <sz val="10"/>
      <color theme="1"/>
      <name val="Arial"/>
      <family val="2"/>
      <scheme val="minor"/>
    </font>
    <font>
      <sz val="9"/>
      <color indexed="81"/>
      <name val="Segoe UI"/>
      <family val="2"/>
    </font>
    <font>
      <b/>
      <sz val="9"/>
      <color indexed="81"/>
      <name val="Segoe UI"/>
      <family val="2"/>
    </font>
    <font>
      <b/>
      <sz val="14"/>
      <name val="Arial"/>
      <family val="2"/>
    </font>
    <font>
      <b/>
      <sz val="11"/>
      <name val="Arial"/>
      <family val="2"/>
    </font>
    <font>
      <sz val="11"/>
      <name val="Arial"/>
      <family val="2"/>
    </font>
    <font>
      <sz val="9"/>
      <name val="Arial"/>
      <family val="2"/>
    </font>
    <font>
      <b/>
      <sz val="14"/>
      <color theme="1"/>
      <name val="Arial"/>
      <family val="2"/>
      <scheme val="minor"/>
    </font>
    <font>
      <b/>
      <sz val="11"/>
      <color theme="1"/>
      <name val="Arial"/>
      <family val="2"/>
      <scheme val="minor"/>
    </font>
    <font>
      <sz val="8"/>
      <color theme="1"/>
      <name val="Arial"/>
      <family val="2"/>
      <scheme val="minor"/>
    </font>
    <font>
      <sz val="11"/>
      <name val="Arial"/>
      <family val="2"/>
      <scheme val="minor"/>
    </font>
    <font>
      <sz val="11"/>
      <color theme="1"/>
      <name val="Calibri"/>
      <family val="2"/>
    </font>
    <font>
      <sz val="10"/>
      <color theme="1"/>
      <name val="Arial"/>
      <family val="2"/>
      <scheme val="major"/>
    </font>
    <font>
      <sz val="11"/>
      <color rgb="FFFF0000"/>
      <name val="Arial"/>
      <family val="2"/>
    </font>
    <font>
      <sz val="10"/>
      <name val="Arial"/>
      <family val="2"/>
      <scheme val="minor"/>
    </font>
    <font>
      <sz val="8"/>
      <name val="Arial"/>
      <family val="2"/>
      <scheme val="minor"/>
    </font>
    <font>
      <sz val="8"/>
      <color theme="1"/>
      <name val="Arial"/>
      <family val="2"/>
    </font>
    <font>
      <sz val="10"/>
      <name val="Arial"/>
      <family val="2"/>
    </font>
    <font>
      <b/>
      <sz val="9"/>
      <name val="Arial"/>
      <family val="2"/>
    </font>
  </fonts>
  <fills count="22">
    <fill>
      <patternFill patternType="none"/>
    </fill>
    <fill>
      <patternFill patternType="gray125"/>
    </fill>
    <fill>
      <patternFill patternType="solid">
        <fgColor rgb="FFD8D8D8"/>
        <bgColor rgb="FFD8D8D8"/>
      </patternFill>
    </fill>
    <fill>
      <patternFill patternType="solid">
        <fgColor rgb="FFFFFFFF"/>
        <bgColor rgb="FFFFFFFF"/>
      </patternFill>
    </fill>
    <fill>
      <patternFill patternType="solid">
        <fgColor rgb="FFBFBFBF"/>
        <bgColor rgb="FFBFBFBF"/>
      </patternFill>
    </fill>
    <fill>
      <patternFill patternType="solid">
        <fgColor rgb="FFF2F2F2"/>
        <bgColor rgb="FFF2F2F2"/>
      </patternFill>
    </fill>
    <fill>
      <patternFill patternType="solid">
        <fgColor rgb="FFF2F2F2"/>
        <bgColor indexed="64"/>
      </patternFill>
    </fill>
    <fill>
      <patternFill patternType="solid">
        <fgColor theme="0"/>
        <bgColor rgb="FFFFFFFF"/>
      </patternFill>
    </fill>
    <fill>
      <patternFill patternType="solid">
        <fgColor theme="0"/>
        <bgColor indexed="64"/>
      </patternFill>
    </fill>
    <fill>
      <patternFill patternType="solid">
        <fgColor theme="2"/>
        <bgColor indexed="64"/>
      </patternFill>
    </fill>
    <fill>
      <patternFill patternType="solid">
        <fgColor theme="0" tint="-0.14999847407452621"/>
        <bgColor rgb="FFFFFFFF"/>
      </patternFill>
    </fill>
    <fill>
      <patternFill patternType="solid">
        <fgColor theme="0" tint="-0.499984740745262"/>
        <bgColor indexed="64"/>
      </patternFill>
    </fill>
    <fill>
      <patternFill patternType="solid">
        <fgColor theme="0" tint="-0.14999847407452621"/>
        <bgColor indexed="64"/>
      </patternFill>
    </fill>
    <fill>
      <patternFill patternType="solid">
        <fgColor indexed="43"/>
        <bgColor indexed="26"/>
      </patternFill>
    </fill>
    <fill>
      <patternFill patternType="solid">
        <fgColor theme="3" tint="0.79998168889431442"/>
        <bgColor indexed="64"/>
      </patternFill>
    </fill>
    <fill>
      <patternFill patternType="solid">
        <fgColor indexed="22"/>
        <bgColor indexed="44"/>
      </patternFill>
    </fill>
    <fill>
      <patternFill patternType="solid">
        <fgColor theme="0"/>
        <bgColor indexed="44"/>
      </patternFill>
    </fill>
    <fill>
      <patternFill patternType="solid">
        <fgColor theme="0" tint="-4.9989318521683403E-2"/>
        <bgColor indexed="64"/>
      </patternFill>
    </fill>
    <fill>
      <patternFill patternType="solid">
        <fgColor rgb="FFFFFFFF"/>
        <bgColor indexed="64"/>
      </patternFill>
    </fill>
    <fill>
      <patternFill patternType="solid">
        <fgColor theme="0"/>
        <bgColor rgb="FFF2F2F2"/>
      </patternFill>
    </fill>
    <fill>
      <patternFill patternType="solid">
        <fgColor theme="0" tint="-4.9989318521683403E-2"/>
        <bgColor rgb="FFF2F2F2"/>
      </patternFill>
    </fill>
    <fill>
      <patternFill patternType="solid">
        <fgColor theme="0" tint="-0.14999847407452621"/>
        <bgColor rgb="FFD8D8D8"/>
      </patternFill>
    </fill>
  </fills>
  <borders count="3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10">
    <xf numFmtId="0" fontId="0" fillId="0" borderId="0">
      <alignment vertical="center"/>
    </xf>
    <xf numFmtId="43" fontId="12" fillId="0" borderId="0">
      <alignment vertical="top"/>
      <protection locked="0"/>
    </xf>
    <xf numFmtId="44" fontId="3" fillId="0" borderId="0" applyFont="0" applyFill="0" applyBorder="0" applyAlignment="0" applyProtection="0"/>
    <xf numFmtId="164" fontId="3" fillId="0" borderId="0" applyFont="0" applyFill="0" applyBorder="0" applyAlignment="0" applyProtection="0"/>
    <xf numFmtId="0" fontId="3" fillId="0" borderId="0"/>
    <xf numFmtId="43" fontId="3" fillId="0" borderId="0">
      <alignment vertical="top"/>
      <protection locked="0"/>
    </xf>
    <xf numFmtId="44" fontId="3" fillId="0" borderId="0" applyFont="0" applyFill="0" applyBorder="0" applyAlignment="0" applyProtection="0"/>
    <xf numFmtId="43" fontId="3" fillId="0" borderId="0" applyFont="0" applyFill="0" applyBorder="0" applyAlignment="0" applyProtection="0"/>
    <xf numFmtId="0" fontId="3" fillId="0" borderId="0">
      <alignment vertical="center"/>
    </xf>
    <xf numFmtId="9" fontId="47" fillId="0" borderId="0" applyFont="0" applyFill="0" applyBorder="0" applyAlignment="0" applyProtection="0"/>
  </cellStyleXfs>
  <cellXfs count="555">
    <xf numFmtId="0" fontId="0" fillId="0" borderId="0" xfId="0">
      <alignment vertical="center"/>
    </xf>
    <xf numFmtId="164" fontId="6" fillId="0" borderId="0" xfId="0" applyNumberFormat="1" applyFont="1" applyAlignment="1"/>
    <xf numFmtId="49" fontId="9" fillId="3" borderId="6" xfId="0" applyNumberFormat="1" applyFont="1" applyFill="1" applyBorder="1" applyAlignment="1">
      <alignment horizontal="center" vertical="center" wrapText="1"/>
    </xf>
    <xf numFmtId="0" fontId="8" fillId="2" borderId="6" xfId="0" applyFont="1" applyFill="1" applyBorder="1" applyAlignment="1">
      <alignment horizontal="center" vertical="center"/>
    </xf>
    <xf numFmtId="0" fontId="5" fillId="3" borderId="6" xfId="0" applyFont="1" applyFill="1" applyBorder="1" applyAlignment="1">
      <alignment horizontal="left" vertical="center" wrapText="1"/>
    </xf>
    <xf numFmtId="0" fontId="5" fillId="0" borderId="6" xfId="0" applyFont="1" applyBorder="1" applyAlignment="1">
      <alignment horizontal="center" vertical="center"/>
    </xf>
    <xf numFmtId="168" fontId="5" fillId="0" borderId="6" xfId="0" applyNumberFormat="1" applyFont="1" applyBorder="1" applyAlignment="1">
      <alignment horizontal="center" vertical="center"/>
    </xf>
    <xf numFmtId="0" fontId="10" fillId="0" borderId="6" xfId="0" applyFont="1" applyBorder="1" applyAlignment="1">
      <alignment horizontal="center" vertical="center"/>
    </xf>
    <xf numFmtId="0" fontId="9" fillId="3" borderId="6" xfId="0" applyFont="1" applyFill="1" applyBorder="1" applyAlignment="1">
      <alignment horizontal="center" vertical="center" wrapText="1"/>
    </xf>
    <xf numFmtId="0" fontId="5" fillId="3" borderId="6" xfId="0" applyFont="1" applyFill="1" applyBorder="1" applyAlignment="1">
      <alignment horizontal="center" vertical="center"/>
    </xf>
    <xf numFmtId="0" fontId="5" fillId="0" borderId="0" xfId="0" applyFont="1" applyAlignment="1">
      <alignment horizontal="center" vertical="center"/>
    </xf>
    <xf numFmtId="0" fontId="8" fillId="5" borderId="6" xfId="0" applyFont="1" applyFill="1" applyBorder="1" applyAlignment="1">
      <alignment horizontal="center" vertical="center"/>
    </xf>
    <xf numFmtId="0" fontId="8" fillId="5" borderId="6" xfId="0" applyFont="1" applyFill="1" applyBorder="1" applyAlignment="1">
      <alignment horizontal="center" vertical="center" wrapText="1"/>
    </xf>
    <xf numFmtId="168" fontId="8" fillId="5" borderId="6" xfId="0" applyNumberFormat="1" applyFont="1" applyFill="1" applyBorder="1" applyAlignment="1">
      <alignment horizontal="center" vertical="center"/>
    </xf>
    <xf numFmtId="170" fontId="5" fillId="3" borderId="6" xfId="0" applyNumberFormat="1" applyFont="1" applyFill="1" applyBorder="1" applyAlignment="1">
      <alignment horizontal="center" vertical="center"/>
    </xf>
    <xf numFmtId="4" fontId="5" fillId="3" borderId="6" xfId="0" applyNumberFormat="1" applyFont="1" applyFill="1" applyBorder="1" applyAlignment="1">
      <alignment horizontal="center" vertical="center"/>
    </xf>
    <xf numFmtId="4" fontId="12" fillId="3" borderId="6" xfId="0" applyNumberFormat="1" applyFont="1" applyFill="1" applyBorder="1" applyAlignment="1">
      <alignment horizontal="center" vertical="center"/>
    </xf>
    <xf numFmtId="14" fontId="5" fillId="0" borderId="6" xfId="0" applyNumberFormat="1" applyFont="1" applyBorder="1" applyAlignment="1">
      <alignment horizontal="center" vertical="center"/>
    </xf>
    <xf numFmtId="168" fontId="5" fillId="3" borderId="6" xfId="0" applyNumberFormat="1" applyFont="1" applyFill="1" applyBorder="1" applyAlignment="1">
      <alignment horizontal="center" vertical="center"/>
    </xf>
    <xf numFmtId="0" fontId="10" fillId="0" borderId="6" xfId="0" applyFont="1" applyBorder="1" applyAlignment="1">
      <alignment horizontal="center" vertical="center" wrapText="1"/>
    </xf>
    <xf numFmtId="0" fontId="10" fillId="0" borderId="0" xfId="0" applyFont="1" applyAlignment="1">
      <alignment horizontal="center" vertical="center"/>
    </xf>
    <xf numFmtId="14" fontId="5" fillId="0" borderId="0" xfId="0" applyNumberFormat="1" applyFont="1" applyAlignment="1">
      <alignment horizontal="center" vertical="center"/>
    </xf>
    <xf numFmtId="0" fontId="17" fillId="0" borderId="0" xfId="0" applyFont="1" applyAlignment="1">
      <alignment horizontal="center"/>
    </xf>
    <xf numFmtId="168" fontId="5" fillId="3" borderId="0" xfId="0" applyNumberFormat="1" applyFont="1" applyFill="1" applyAlignment="1">
      <alignment horizontal="center" vertical="center"/>
    </xf>
    <xf numFmtId="0" fontId="5" fillId="0" borderId="0" xfId="0" applyFont="1" applyAlignment="1">
      <alignment horizontal="center"/>
    </xf>
    <xf numFmtId="0" fontId="8" fillId="3" borderId="0" xfId="0" applyFont="1" applyFill="1" applyAlignment="1">
      <alignment horizontal="center" vertical="center"/>
    </xf>
    <xf numFmtId="0" fontId="13" fillId="3" borderId="0" xfId="0" applyFont="1" applyFill="1" applyAlignment="1">
      <alignment vertical="top"/>
    </xf>
    <xf numFmtId="0" fontId="5" fillId="0" borderId="0" xfId="0" applyFont="1" applyAlignment="1"/>
    <xf numFmtId="164" fontId="6" fillId="8" borderId="0" xfId="0" applyNumberFormat="1" applyFont="1" applyFill="1" applyAlignment="1"/>
    <xf numFmtId="0" fontId="0" fillId="8" borderId="0" xfId="0" applyFill="1">
      <alignment vertical="center"/>
    </xf>
    <xf numFmtId="0" fontId="2" fillId="8" borderId="0" xfId="0" applyFont="1" applyFill="1" applyAlignment="1"/>
    <xf numFmtId="0" fontId="3" fillId="0" borderId="0" xfId="0" applyFont="1">
      <alignment vertical="center"/>
    </xf>
    <xf numFmtId="0" fontId="18" fillId="0" borderId="0" xfId="0" applyFont="1">
      <alignment vertical="center"/>
    </xf>
    <xf numFmtId="0" fontId="18" fillId="0" borderId="14" xfId="0" applyFont="1" applyBorder="1" applyAlignment="1">
      <alignment horizontal="center" vertical="center"/>
    </xf>
    <xf numFmtId="2" fontId="5" fillId="0" borderId="0" xfId="0" applyNumberFormat="1" applyFont="1" applyAlignment="1">
      <alignment horizontal="center" vertical="center"/>
    </xf>
    <xf numFmtId="0" fontId="21" fillId="2" borderId="14" xfId="0" applyFont="1" applyFill="1" applyBorder="1" applyAlignment="1">
      <alignment horizontal="center" vertical="center"/>
    </xf>
    <xf numFmtId="0" fontId="18" fillId="0" borderId="0" xfId="0" applyFont="1" applyAlignment="1">
      <alignment horizontal="center" vertical="center"/>
    </xf>
    <xf numFmtId="0" fontId="18" fillId="0" borderId="0" xfId="0" applyFont="1" applyAlignment="1"/>
    <xf numFmtId="0" fontId="21" fillId="4" borderId="14" xfId="0" applyFont="1" applyFill="1" applyBorder="1" applyAlignment="1">
      <alignment horizontal="center" vertical="center"/>
    </xf>
    <xf numFmtId="0" fontId="21" fillId="3" borderId="14" xfId="0" applyFont="1" applyFill="1" applyBorder="1" applyAlignment="1">
      <alignment horizontal="center" vertical="center"/>
    </xf>
    <xf numFmtId="49" fontId="28" fillId="3" borderId="14" xfId="0" applyNumberFormat="1" applyFont="1" applyFill="1" applyBorder="1" applyAlignment="1">
      <alignment horizontal="center" vertical="center" wrapText="1"/>
    </xf>
    <xf numFmtId="10" fontId="28" fillId="3" borderId="14" xfId="0" applyNumberFormat="1" applyFont="1" applyFill="1" applyBorder="1" applyAlignment="1">
      <alignment horizontal="center" vertical="center" wrapText="1"/>
    </xf>
    <xf numFmtId="10" fontId="28" fillId="2" borderId="14" xfId="0" applyNumberFormat="1" applyFont="1" applyFill="1" applyBorder="1" applyAlignment="1">
      <alignment horizontal="center" vertical="center" wrapText="1"/>
    </xf>
    <xf numFmtId="4" fontId="28" fillId="0" borderId="14" xfId="0" applyNumberFormat="1" applyFont="1" applyBorder="1" applyAlignment="1">
      <alignment horizontal="center" vertical="center" wrapText="1"/>
    </xf>
    <xf numFmtId="172" fontId="28" fillId="5" borderId="14" xfId="0" applyNumberFormat="1" applyFont="1" applyFill="1" applyBorder="1" applyAlignment="1">
      <alignment horizontal="center" vertical="center" wrapText="1"/>
    </xf>
    <xf numFmtId="10" fontId="28" fillId="0" borderId="14" xfId="0" applyNumberFormat="1" applyFont="1" applyBorder="1" applyAlignment="1">
      <alignment horizontal="center" vertical="center" wrapText="1"/>
    </xf>
    <xf numFmtId="49" fontId="27" fillId="3" borderId="14" xfId="0" applyNumberFormat="1" applyFont="1" applyFill="1" applyBorder="1" applyAlignment="1">
      <alignment horizontal="center" vertical="center" wrapText="1"/>
    </xf>
    <xf numFmtId="10" fontId="27" fillId="3" borderId="14" xfId="0" applyNumberFormat="1" applyFont="1" applyFill="1" applyBorder="1" applyAlignment="1">
      <alignment horizontal="center" vertical="center" wrapText="1"/>
    </xf>
    <xf numFmtId="10" fontId="25" fillId="2" borderId="14" xfId="0" applyNumberFormat="1" applyFont="1" applyFill="1" applyBorder="1" applyAlignment="1">
      <alignment horizontal="center" vertical="center" wrapText="1"/>
    </xf>
    <xf numFmtId="172" fontId="25" fillId="5" borderId="14" xfId="0" applyNumberFormat="1" applyFont="1" applyFill="1" applyBorder="1" applyAlignment="1">
      <alignment horizontal="center" vertical="center" wrapText="1"/>
    </xf>
    <xf numFmtId="0" fontId="29" fillId="0" borderId="14" xfId="0" applyFont="1" applyBorder="1" applyAlignment="1">
      <alignment horizontal="center" vertical="center"/>
    </xf>
    <xf numFmtId="2" fontId="29" fillId="0" borderId="14" xfId="0" applyNumberFormat="1" applyFont="1" applyBorder="1" applyAlignment="1">
      <alignment horizontal="center" vertical="center"/>
    </xf>
    <xf numFmtId="166" fontId="29" fillId="0" borderId="14" xfId="0" applyNumberFormat="1" applyFont="1" applyBorder="1" applyAlignment="1">
      <alignment horizontal="center" vertical="center" wrapText="1"/>
    </xf>
    <xf numFmtId="167" fontId="29" fillId="3" borderId="14" xfId="0" applyNumberFormat="1" applyFont="1" applyFill="1" applyBorder="1" applyAlignment="1">
      <alignment horizontal="center" vertical="center"/>
    </xf>
    <xf numFmtId="0" fontId="29" fillId="0" borderId="14" xfId="0" applyFont="1" applyBorder="1" applyAlignment="1">
      <alignment vertical="center" wrapText="1"/>
    </xf>
    <xf numFmtId="167" fontId="29" fillId="0" borderId="14" xfId="0" applyNumberFormat="1" applyFont="1" applyBorder="1" applyAlignment="1">
      <alignment horizontal="center" vertical="center"/>
    </xf>
    <xf numFmtId="168" fontId="30" fillId="0" borderId="14" xfId="0" applyNumberFormat="1" applyFont="1" applyBorder="1" applyAlignment="1">
      <alignment horizontal="center" vertical="center"/>
    </xf>
    <xf numFmtId="0" fontId="30" fillId="2" borderId="14" xfId="0" applyFont="1" applyFill="1" applyBorder="1" applyAlignment="1">
      <alignment horizontal="center" vertical="center"/>
    </xf>
    <xf numFmtId="165" fontId="30" fillId="2" borderId="14" xfId="0" applyNumberFormat="1" applyFont="1" applyFill="1" applyBorder="1" applyAlignment="1">
      <alignment horizontal="center" vertical="center" wrapText="1"/>
    </xf>
    <xf numFmtId="164" fontId="29" fillId="2" borderId="14" xfId="0" applyNumberFormat="1" applyFont="1" applyFill="1" applyBorder="1" applyAlignment="1">
      <alignment horizontal="center" vertical="center" wrapText="1"/>
    </xf>
    <xf numFmtId="0" fontId="29" fillId="9" borderId="14" xfId="0" applyFont="1" applyFill="1" applyBorder="1" applyAlignment="1">
      <alignment horizontal="center" vertical="center"/>
    </xf>
    <xf numFmtId="166" fontId="29" fillId="9" borderId="14" xfId="0" applyNumberFormat="1" applyFont="1" applyFill="1" applyBorder="1" applyAlignment="1">
      <alignment horizontal="center" vertical="center" wrapText="1"/>
    </xf>
    <xf numFmtId="0" fontId="29" fillId="2" borderId="14" xfId="0" applyFont="1" applyFill="1" applyBorder="1" applyAlignment="1">
      <alignment horizontal="center"/>
    </xf>
    <xf numFmtId="169" fontId="29" fillId="0" borderId="14" xfId="0" applyNumberFormat="1" applyFont="1" applyBorder="1" applyAlignment="1">
      <alignment horizontal="center" vertical="center"/>
    </xf>
    <xf numFmtId="167" fontId="29" fillId="8" borderId="14" xfId="0" applyNumberFormat="1" applyFont="1" applyFill="1" applyBorder="1" applyAlignment="1">
      <alignment horizontal="center" vertical="center"/>
    </xf>
    <xf numFmtId="166" fontId="29" fillId="8" borderId="14" xfId="0" applyNumberFormat="1" applyFont="1" applyFill="1" applyBorder="1" applyAlignment="1">
      <alignment horizontal="center" vertical="center" wrapText="1"/>
    </xf>
    <xf numFmtId="169" fontId="29" fillId="8" borderId="14" xfId="0" applyNumberFormat="1" applyFont="1" applyFill="1" applyBorder="1" applyAlignment="1">
      <alignment horizontal="center" vertical="center"/>
    </xf>
    <xf numFmtId="166" fontId="30" fillId="0" borderId="14" xfId="0" applyNumberFormat="1" applyFont="1" applyBorder="1" applyAlignment="1">
      <alignment horizontal="center" vertical="center" wrapText="1"/>
    </xf>
    <xf numFmtId="2" fontId="29" fillId="0" borderId="14" xfId="0" applyNumberFormat="1" applyFont="1" applyBorder="1" applyAlignment="1">
      <alignment horizontal="center" vertical="center" wrapText="1"/>
    </xf>
    <xf numFmtId="0" fontId="29" fillId="2" borderId="14" xfId="0" applyFont="1" applyFill="1" applyBorder="1" applyAlignment="1">
      <alignment horizontal="center" vertical="center"/>
    </xf>
    <xf numFmtId="167" fontId="29" fillId="2" borderId="14" xfId="0" applyNumberFormat="1" applyFont="1" applyFill="1" applyBorder="1" applyAlignment="1">
      <alignment horizontal="center" vertical="center"/>
    </xf>
    <xf numFmtId="0" fontId="29" fillId="0" borderId="0" xfId="0" applyFont="1">
      <alignment vertical="center"/>
    </xf>
    <xf numFmtId="0" fontId="29" fillId="0" borderId="0" xfId="0" applyFont="1" applyAlignment="1">
      <alignment horizontal="center" vertical="center"/>
    </xf>
    <xf numFmtId="0" fontId="29" fillId="0" borderId="0" xfId="0" applyFont="1" applyAlignment="1">
      <alignment vertical="center" wrapText="1"/>
    </xf>
    <xf numFmtId="0" fontId="29" fillId="8" borderId="14" xfId="0" applyFont="1" applyFill="1" applyBorder="1" applyAlignment="1">
      <alignment horizontal="center" vertical="center"/>
    </xf>
    <xf numFmtId="164" fontId="29" fillId="0" borderId="15" xfId="0" applyNumberFormat="1" applyFont="1" applyBorder="1" applyAlignment="1"/>
    <xf numFmtId="164" fontId="29" fillId="0" borderId="0" xfId="0" applyNumberFormat="1" applyFont="1" applyAlignment="1">
      <alignment horizontal="center" vertical="center"/>
    </xf>
    <xf numFmtId="164" fontId="29" fillId="0" borderId="0" xfId="0" applyNumberFormat="1" applyFont="1" applyAlignment="1">
      <alignment horizontal="center"/>
    </xf>
    <xf numFmtId="164" fontId="29" fillId="0" borderId="0" xfId="0" applyNumberFormat="1" applyFont="1" applyAlignment="1">
      <alignment wrapText="1"/>
    </xf>
    <xf numFmtId="164" fontId="29" fillId="0" borderId="0" xfId="0" applyNumberFormat="1" applyFont="1" applyAlignment="1"/>
    <xf numFmtId="49" fontId="29" fillId="3" borderId="14" xfId="0" applyNumberFormat="1" applyFont="1" applyFill="1" applyBorder="1" applyAlignment="1">
      <alignment horizontal="center" vertical="center" wrapText="1"/>
    </xf>
    <xf numFmtId="0" fontId="29" fillId="0" borderId="14" xfId="0" applyFont="1" applyBorder="1" applyAlignment="1">
      <alignment horizontal="center" vertical="center" wrapText="1"/>
    </xf>
    <xf numFmtId="0" fontId="29" fillId="3" borderId="14" xfId="0" applyFont="1" applyFill="1" applyBorder="1" applyAlignment="1">
      <alignment horizontal="center" vertical="center"/>
    </xf>
    <xf numFmtId="44" fontId="29" fillId="0" borderId="14" xfId="2" applyFont="1" applyBorder="1" applyAlignment="1">
      <alignment horizontal="center" vertical="center"/>
    </xf>
    <xf numFmtId="44" fontId="29" fillId="0" borderId="14" xfId="2" applyFont="1" applyBorder="1" applyAlignment="1">
      <alignment horizontal="center" vertical="center" wrapText="1"/>
    </xf>
    <xf numFmtId="166" fontId="29" fillId="0" borderId="16" xfId="0" applyNumberFormat="1" applyFont="1" applyBorder="1" applyAlignment="1">
      <alignment horizontal="center" vertical="center" wrapText="1"/>
    </xf>
    <xf numFmtId="166" fontId="29" fillId="3" borderId="14" xfId="0" applyNumberFormat="1" applyFont="1" applyFill="1" applyBorder="1" applyAlignment="1">
      <alignment horizontal="center" vertical="center" wrapText="1"/>
    </xf>
    <xf numFmtId="169" fontId="29" fillId="3" borderId="14" xfId="0" applyNumberFormat="1" applyFont="1" applyFill="1" applyBorder="1" applyAlignment="1">
      <alignment horizontal="center" vertical="center"/>
    </xf>
    <xf numFmtId="0" fontId="29" fillId="7" borderId="14" xfId="0" applyFont="1" applyFill="1" applyBorder="1" applyAlignment="1">
      <alignment horizontal="center" vertical="center"/>
    </xf>
    <xf numFmtId="49" fontId="29" fillId="7" borderId="14" xfId="0" applyNumberFormat="1" applyFont="1" applyFill="1" applyBorder="1" applyAlignment="1">
      <alignment horizontal="center" vertical="center" wrapText="1"/>
    </xf>
    <xf numFmtId="166" fontId="29" fillId="7" borderId="14" xfId="0" applyNumberFormat="1" applyFont="1" applyFill="1" applyBorder="1" applyAlignment="1">
      <alignment horizontal="center" vertical="center" wrapText="1"/>
    </xf>
    <xf numFmtId="169" fontId="29" fillId="7" borderId="14" xfId="0" applyNumberFormat="1" applyFont="1" applyFill="1" applyBorder="1" applyAlignment="1">
      <alignment horizontal="center" vertical="center"/>
    </xf>
    <xf numFmtId="0" fontId="29" fillId="3" borderId="14" xfId="0" applyFont="1" applyFill="1" applyBorder="1" applyAlignment="1">
      <alignment horizontal="center" vertical="center" wrapText="1"/>
    </xf>
    <xf numFmtId="167" fontId="29" fillId="3" borderId="14" xfId="0" applyNumberFormat="1" applyFont="1" applyFill="1" applyBorder="1" applyAlignment="1">
      <alignment horizontal="center" vertical="center" wrapText="1"/>
    </xf>
    <xf numFmtId="167" fontId="30" fillId="0" borderId="14" xfId="0" applyNumberFormat="1" applyFont="1" applyBorder="1" applyAlignment="1">
      <alignment horizontal="center" vertical="center"/>
    </xf>
    <xf numFmtId="0" fontId="30" fillId="2" borderId="14" xfId="0" applyFont="1" applyFill="1" applyBorder="1" applyAlignment="1">
      <alignment vertical="center" wrapText="1"/>
    </xf>
    <xf numFmtId="169" fontId="29" fillId="2" borderId="14" xfId="0" applyNumberFormat="1" applyFont="1" applyFill="1" applyBorder="1" applyAlignment="1">
      <alignment horizontal="center"/>
    </xf>
    <xf numFmtId="164" fontId="20" fillId="0" borderId="0" xfId="0" applyNumberFormat="1" applyFont="1" applyAlignment="1"/>
    <xf numFmtId="164" fontId="18" fillId="0" borderId="0" xfId="0" applyNumberFormat="1" applyFont="1" applyAlignment="1">
      <alignment horizontal="center"/>
    </xf>
    <xf numFmtId="164" fontId="18" fillId="0" borderId="0" xfId="0" applyNumberFormat="1" applyFont="1" applyAlignment="1"/>
    <xf numFmtId="164" fontId="20" fillId="8" borderId="0" xfId="0" applyNumberFormat="1" applyFont="1" applyFill="1" applyAlignment="1"/>
    <xf numFmtId="0" fontId="35" fillId="11" borderId="0" xfId="0" applyFont="1" applyFill="1" applyAlignment="1">
      <alignment horizontal="center" vertical="center" wrapText="1"/>
    </xf>
    <xf numFmtId="0" fontId="23" fillId="0" borderId="29" xfId="0" applyFont="1" applyBorder="1" applyAlignment="1">
      <alignment horizontal="center" vertical="center" wrapText="1"/>
    </xf>
    <xf numFmtId="14" fontId="23" fillId="0" borderId="29" xfId="0" applyNumberFormat="1" applyFont="1" applyBorder="1" applyAlignment="1">
      <alignment horizontal="center" vertical="center" wrapText="1"/>
    </xf>
    <xf numFmtId="0" fontId="23" fillId="8" borderId="27" xfId="0" applyFont="1" applyFill="1" applyBorder="1" applyAlignment="1">
      <alignment horizontal="center" vertical="center" wrapText="1"/>
    </xf>
    <xf numFmtId="0" fontId="23" fillId="8" borderId="0" xfId="0" applyFont="1" applyFill="1" applyAlignment="1">
      <alignment horizontal="center" vertical="center" wrapText="1"/>
    </xf>
    <xf numFmtId="0" fontId="23" fillId="8" borderId="28" xfId="0" applyFont="1" applyFill="1" applyBorder="1" applyAlignment="1">
      <alignment horizontal="center" vertical="center" wrapText="1"/>
    </xf>
    <xf numFmtId="0" fontId="34" fillId="0" borderId="14" xfId="4" applyFont="1" applyBorder="1" applyAlignment="1">
      <alignment horizontal="center" vertical="center"/>
    </xf>
    <xf numFmtId="4" fontId="34" fillId="0" borderId="14" xfId="4" applyNumberFormat="1" applyFont="1" applyBorder="1" applyAlignment="1">
      <alignment horizontal="center" vertical="center" wrapText="1"/>
    </xf>
    <xf numFmtId="0" fontId="35" fillId="0" borderId="14" xfId="4" applyFont="1" applyBorder="1" applyAlignment="1">
      <alignment horizontal="center" vertical="center"/>
    </xf>
    <xf numFmtId="10" fontId="35" fillId="13" borderId="14" xfId="4" applyNumberFormat="1" applyFont="1" applyFill="1" applyBorder="1" applyAlignment="1" applyProtection="1">
      <alignment horizontal="center" vertical="center"/>
      <protection locked="0"/>
    </xf>
    <xf numFmtId="10" fontId="35" fillId="0" borderId="14" xfId="4" applyNumberFormat="1" applyFont="1" applyBorder="1" applyAlignment="1">
      <alignment horizontal="center" vertical="center"/>
    </xf>
    <xf numFmtId="0" fontId="35" fillId="0" borderId="14" xfId="4" applyFont="1" applyBorder="1" applyAlignment="1">
      <alignment horizontal="center" vertical="center" wrapText="1"/>
    </xf>
    <xf numFmtId="10" fontId="35" fillId="11" borderId="0" xfId="0" applyNumberFormat="1" applyFont="1" applyFill="1" applyAlignment="1">
      <alignment horizontal="center" vertical="center" wrapText="1"/>
    </xf>
    <xf numFmtId="0" fontId="35" fillId="15" borderId="14" xfId="4" applyFont="1" applyFill="1" applyBorder="1" applyAlignment="1">
      <alignment horizontal="center" vertical="center" wrapText="1"/>
    </xf>
    <xf numFmtId="10" fontId="34" fillId="15" borderId="14" xfId="4" applyNumberFormat="1" applyFont="1" applyFill="1" applyBorder="1" applyAlignment="1">
      <alignment horizontal="center" vertical="center"/>
    </xf>
    <xf numFmtId="0" fontId="3" fillId="8" borderId="27" xfId="4" applyFill="1" applyBorder="1"/>
    <xf numFmtId="0" fontId="3" fillId="8" borderId="0" xfId="4" applyFill="1"/>
    <xf numFmtId="0" fontId="3" fillId="8" borderId="28" xfId="4" applyFill="1" applyBorder="1"/>
    <xf numFmtId="0" fontId="3" fillId="11" borderId="0" xfId="0" applyFont="1" applyFill="1" applyAlignment="1">
      <alignment horizontal="center" vertical="center" wrapText="1"/>
    </xf>
    <xf numFmtId="2" fontId="35" fillId="11" borderId="0" xfId="0" applyNumberFormat="1" applyFont="1" applyFill="1" applyAlignment="1">
      <alignment horizontal="center" vertical="center" wrapText="1"/>
    </xf>
    <xf numFmtId="0" fontId="3" fillId="11" borderId="0" xfId="0" applyFont="1" applyFill="1" applyAlignment="1">
      <alignment horizontal="left" vertical="center"/>
    </xf>
    <xf numFmtId="164" fontId="29" fillId="0" borderId="14" xfId="0" applyNumberFormat="1" applyFont="1" applyBorder="1" applyAlignment="1">
      <alignment horizontal="center" vertical="center" wrapText="1"/>
    </xf>
    <xf numFmtId="0" fontId="30" fillId="3" borderId="14" xfId="0" applyFont="1" applyFill="1" applyBorder="1" applyAlignment="1">
      <alignment horizontal="center" vertical="center" wrapText="1"/>
    </xf>
    <xf numFmtId="164" fontId="30" fillId="0" borderId="14" xfId="0" applyNumberFormat="1" applyFont="1" applyBorder="1" applyAlignment="1">
      <alignment horizontal="center" vertical="center"/>
    </xf>
    <xf numFmtId="164" fontId="30" fillId="0" borderId="14" xfId="0" applyNumberFormat="1" applyFont="1" applyBorder="1" applyAlignment="1">
      <alignment horizontal="center" vertical="center" wrapText="1"/>
    </xf>
    <xf numFmtId="0" fontId="21" fillId="0" borderId="14" xfId="0" applyFont="1" applyBorder="1" applyAlignment="1">
      <alignment horizontal="center" vertical="center"/>
    </xf>
    <xf numFmtId="0" fontId="39" fillId="0" borderId="14" xfId="0" applyFont="1" applyBorder="1" applyAlignment="1">
      <alignment horizontal="center" vertical="center"/>
    </xf>
    <xf numFmtId="49" fontId="11" fillId="8" borderId="14" xfId="3" applyNumberFormat="1" applyFont="1" applyFill="1" applyBorder="1" applyAlignment="1">
      <alignment horizontal="center" vertical="center" wrapText="1"/>
    </xf>
    <xf numFmtId="49" fontId="11" fillId="8" borderId="1" xfId="3" applyNumberFormat="1" applyFont="1" applyFill="1" applyBorder="1" applyAlignment="1">
      <alignment horizontal="center" vertical="center" wrapText="1"/>
    </xf>
    <xf numFmtId="2" fontId="29" fillId="3" borderId="3" xfId="0" applyNumberFormat="1" applyFont="1" applyFill="1" applyBorder="1" applyAlignment="1">
      <alignment horizontal="center" vertical="center"/>
    </xf>
    <xf numFmtId="0" fontId="2" fillId="0" borderId="14" xfId="0" applyFont="1" applyBorder="1" applyAlignment="1">
      <alignment vertical="center" wrapText="1"/>
    </xf>
    <xf numFmtId="0" fontId="2" fillId="18" borderId="14" xfId="0" applyFont="1" applyFill="1" applyBorder="1" applyAlignment="1">
      <alignment vertical="center" wrapText="1"/>
    </xf>
    <xf numFmtId="2" fontId="29" fillId="0" borderId="2" xfId="0" applyNumberFormat="1" applyFont="1" applyBorder="1" applyAlignment="1">
      <alignment horizontal="center" vertical="center" wrapText="1"/>
    </xf>
    <xf numFmtId="44" fontId="29" fillId="0" borderId="3" xfId="2" applyFont="1" applyBorder="1" applyAlignment="1">
      <alignment horizontal="center" vertical="center"/>
    </xf>
    <xf numFmtId="166" fontId="29" fillId="0" borderId="3" xfId="0" applyNumberFormat="1" applyFont="1" applyBorder="1" applyAlignment="1">
      <alignment horizontal="center" vertical="center" wrapText="1"/>
    </xf>
    <xf numFmtId="164" fontId="29" fillId="2" borderId="29" xfId="0" applyNumberFormat="1" applyFont="1" applyFill="1" applyBorder="1" applyAlignment="1">
      <alignment horizontal="center" vertical="center" wrapText="1"/>
    </xf>
    <xf numFmtId="0" fontId="2" fillId="0" borderId="14" xfId="0" applyFont="1" applyBorder="1" applyAlignment="1">
      <alignment horizontal="center" vertical="center" wrapText="1"/>
    </xf>
    <xf numFmtId="2" fontId="29" fillId="0" borderId="3" xfId="0" applyNumberFormat="1" applyFont="1" applyBorder="1" applyAlignment="1">
      <alignment horizontal="center" vertical="center"/>
    </xf>
    <xf numFmtId="2" fontId="29" fillId="9" borderId="3" xfId="0" applyNumberFormat="1" applyFont="1" applyFill="1" applyBorder="1" applyAlignment="1">
      <alignment horizontal="center" vertical="center"/>
    </xf>
    <xf numFmtId="0" fontId="2" fillId="0" borderId="14" xfId="0" applyFont="1" applyBorder="1">
      <alignment vertical="center"/>
    </xf>
    <xf numFmtId="0" fontId="2" fillId="18" borderId="14" xfId="0" applyFont="1" applyFill="1" applyBorder="1">
      <alignment vertical="center"/>
    </xf>
    <xf numFmtId="2" fontId="29" fillId="3" borderId="3" xfId="0" applyNumberFormat="1" applyFont="1" applyFill="1" applyBorder="1" applyAlignment="1">
      <alignment horizontal="center" vertical="center" wrapText="1"/>
    </xf>
    <xf numFmtId="2" fontId="29" fillId="7" borderId="3" xfId="0" applyNumberFormat="1" applyFont="1" applyFill="1" applyBorder="1" applyAlignment="1">
      <alignment horizontal="center" vertical="center" wrapText="1"/>
    </xf>
    <xf numFmtId="0" fontId="30" fillId="2" borderId="29" xfId="0" applyFont="1" applyFill="1" applyBorder="1" applyAlignment="1">
      <alignment vertical="center" wrapText="1"/>
    </xf>
    <xf numFmtId="2" fontId="29" fillId="8" borderId="3" xfId="0" applyNumberFormat="1" applyFont="1" applyFill="1" applyBorder="1" applyAlignment="1">
      <alignment horizontal="center" vertical="center"/>
    </xf>
    <xf numFmtId="168" fontId="30" fillId="2" borderId="14" xfId="0" applyNumberFormat="1" applyFont="1" applyFill="1" applyBorder="1" applyAlignment="1">
      <alignment horizontal="center" vertical="center"/>
    </xf>
    <xf numFmtId="0" fontId="20" fillId="0" borderId="14" xfId="0" applyFont="1" applyBorder="1" applyAlignment="1"/>
    <xf numFmtId="2" fontId="18" fillId="8" borderId="14" xfId="0" applyNumberFormat="1" applyFont="1" applyFill="1" applyBorder="1" applyAlignment="1">
      <alignment horizontal="center" vertical="center" wrapText="1"/>
    </xf>
    <xf numFmtId="2" fontId="21" fillId="19" borderId="14" xfId="0" applyNumberFormat="1" applyFont="1" applyFill="1" applyBorder="1" applyAlignment="1">
      <alignment horizontal="center" vertical="center"/>
    </xf>
    <xf numFmtId="0" fontId="2" fillId="0" borderId="0" xfId="0" applyFont="1" applyAlignment="1">
      <alignment horizontal="center" vertical="center"/>
    </xf>
    <xf numFmtId="0" fontId="29" fillId="8" borderId="14" xfId="0" applyFont="1" applyFill="1" applyBorder="1" applyAlignment="1">
      <alignment vertical="center" wrapText="1"/>
    </xf>
    <xf numFmtId="0" fontId="2" fillId="3" borderId="6" xfId="0" applyFont="1" applyFill="1" applyBorder="1" applyAlignment="1">
      <alignment horizontal="center" vertical="center"/>
    </xf>
    <xf numFmtId="0" fontId="23" fillId="17" borderId="14" xfId="0" applyFont="1" applyFill="1" applyBorder="1" applyAlignment="1">
      <alignment horizontal="center" vertical="center" wrapText="1"/>
    </xf>
    <xf numFmtId="0" fontId="3" fillId="17" borderId="14" xfId="0" applyFont="1" applyFill="1" applyBorder="1" applyAlignment="1">
      <alignment horizontal="center" vertical="center"/>
    </xf>
    <xf numFmtId="2" fontId="23" fillId="17" borderId="14" xfId="0" applyNumberFormat="1" applyFont="1" applyFill="1" applyBorder="1" applyAlignment="1">
      <alignment horizontal="center" vertical="center"/>
    </xf>
    <xf numFmtId="0" fontId="23" fillId="17" borderId="14" xfId="0" applyFont="1" applyFill="1" applyBorder="1" applyAlignment="1">
      <alignment horizontal="center" vertical="center"/>
    </xf>
    <xf numFmtId="0" fontId="23" fillId="8" borderId="1" xfId="0" applyFont="1" applyFill="1" applyBorder="1" applyAlignment="1">
      <alignment horizontal="center" vertical="center"/>
    </xf>
    <xf numFmtId="0" fontId="40" fillId="8" borderId="2" xfId="0" applyFont="1" applyFill="1" applyBorder="1" applyAlignment="1">
      <alignment horizontal="center" vertical="top"/>
    </xf>
    <xf numFmtId="0" fontId="40" fillId="8" borderId="3" xfId="0" applyFont="1" applyFill="1" applyBorder="1" applyAlignment="1">
      <alignment horizontal="center" vertical="top"/>
    </xf>
    <xf numFmtId="2" fontId="5" fillId="3" borderId="6" xfId="0" applyNumberFormat="1" applyFont="1" applyFill="1" applyBorder="1" applyAlignment="1">
      <alignment horizontal="left" vertical="center" wrapText="1"/>
    </xf>
    <xf numFmtId="2" fontId="5" fillId="0" borderId="7" xfId="0" applyNumberFormat="1" applyFont="1" applyBorder="1" applyAlignment="1">
      <alignment vertical="center" wrapText="1"/>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2" fillId="0" borderId="0" xfId="0" applyFont="1" applyAlignment="1">
      <alignment horizontal="center" vertical="center"/>
    </xf>
    <xf numFmtId="0" fontId="3" fillId="0" borderId="0" xfId="0" applyFont="1">
      <alignment vertical="center"/>
    </xf>
    <xf numFmtId="0" fontId="18" fillId="0" borderId="0" xfId="0" applyFont="1">
      <alignment vertical="center"/>
    </xf>
    <xf numFmtId="2" fontId="18" fillId="0" borderId="14" xfId="0" applyNumberFormat="1" applyFont="1" applyBorder="1" applyAlignment="1">
      <alignment horizontal="center" vertical="center"/>
    </xf>
    <xf numFmtId="0" fontId="18" fillId="0" borderId="0" xfId="0" applyFont="1" applyAlignment="1">
      <alignment horizontal="center" vertical="center"/>
    </xf>
    <xf numFmtId="0" fontId="39" fillId="8" borderId="14" xfId="0" applyFont="1" applyFill="1" applyBorder="1" applyAlignment="1">
      <alignment horizontal="center" vertical="center"/>
    </xf>
    <xf numFmtId="2" fontId="29" fillId="8" borderId="26" xfId="0" applyNumberFormat="1" applyFont="1" applyFill="1" applyBorder="1" applyAlignment="1">
      <alignment horizontal="center" vertical="center"/>
    </xf>
    <xf numFmtId="0" fontId="2" fillId="8" borderId="14" xfId="0" applyFont="1" applyFill="1" applyBorder="1" applyAlignment="1">
      <alignment vertical="center" wrapText="1"/>
    </xf>
    <xf numFmtId="2" fontId="42" fillId="0" borderId="0" xfId="0" applyNumberFormat="1" applyFont="1">
      <alignment vertical="center"/>
    </xf>
    <xf numFmtId="2" fontId="42" fillId="0" borderId="14" xfId="0" applyNumberFormat="1" applyFont="1" applyBorder="1" applyAlignment="1">
      <alignment horizontal="center" vertical="center"/>
    </xf>
    <xf numFmtId="0" fontId="42" fillId="0" borderId="14" xfId="0" applyFont="1" applyBorder="1" applyAlignment="1">
      <alignment horizontal="center" vertical="center"/>
    </xf>
    <xf numFmtId="2" fontId="42" fillId="0" borderId="14" xfId="0" applyNumberFormat="1" applyFont="1" applyBorder="1">
      <alignment vertical="center"/>
    </xf>
    <xf numFmtId="164" fontId="43" fillId="0" borderId="0" xfId="0" applyNumberFormat="1" applyFont="1" applyAlignment="1">
      <alignment vertical="center"/>
    </xf>
    <xf numFmtId="2" fontId="44" fillId="8" borderId="3" xfId="0" applyNumberFormat="1" applyFont="1" applyFill="1" applyBorder="1" applyAlignment="1">
      <alignment horizontal="center" vertical="center"/>
    </xf>
    <xf numFmtId="0" fontId="21" fillId="17" borderId="14" xfId="0" applyFont="1" applyFill="1" applyBorder="1" applyAlignment="1">
      <alignment horizontal="center" vertical="center" wrapText="1"/>
    </xf>
    <xf numFmtId="0" fontId="21" fillId="17" borderId="14" xfId="0" applyFont="1" applyFill="1" applyBorder="1" applyAlignment="1">
      <alignment horizontal="center" vertical="center"/>
    </xf>
    <xf numFmtId="0" fontId="20" fillId="0" borderId="14" xfId="0" applyFont="1" applyBorder="1" applyAlignment="1">
      <alignment horizontal="center" vertical="center"/>
    </xf>
    <xf numFmtId="0" fontId="21" fillId="5" borderId="14" xfId="0" applyFont="1" applyFill="1" applyBorder="1" applyAlignment="1">
      <alignment horizontal="center" vertical="center" wrapText="1"/>
    </xf>
    <xf numFmtId="2" fontId="18" fillId="0" borderId="14" xfId="0" applyNumberFormat="1" applyFont="1" applyFill="1" applyBorder="1" applyAlignment="1">
      <alignment horizontal="center" vertical="center" wrapText="1"/>
    </xf>
    <xf numFmtId="0" fontId="29" fillId="0" borderId="14" xfId="0" applyFont="1" applyFill="1" applyBorder="1" applyAlignment="1">
      <alignment horizontal="center" vertical="center"/>
    </xf>
    <xf numFmtId="0" fontId="39" fillId="0" borderId="14" xfId="0" applyFont="1" applyFill="1" applyBorder="1" applyAlignment="1">
      <alignment horizontal="center" vertical="center"/>
    </xf>
    <xf numFmtId="0" fontId="2" fillId="0" borderId="14" xfId="0" applyFont="1" applyFill="1" applyBorder="1" applyAlignment="1">
      <alignment vertical="center" wrapText="1"/>
    </xf>
    <xf numFmtId="2" fontId="29" fillId="0" borderId="3" xfId="0" applyNumberFormat="1" applyFont="1" applyFill="1" applyBorder="1" applyAlignment="1">
      <alignment horizontal="center" vertical="center"/>
    </xf>
    <xf numFmtId="166" fontId="29" fillId="0" borderId="14" xfId="0" applyNumberFormat="1" applyFont="1" applyFill="1" applyBorder="1" applyAlignment="1">
      <alignment horizontal="center" vertical="center" wrapText="1"/>
    </xf>
    <xf numFmtId="167" fontId="29" fillId="0" borderId="14" xfId="0" applyNumberFormat="1" applyFont="1" applyFill="1" applyBorder="1" applyAlignment="1">
      <alignment horizontal="center" vertical="center"/>
    </xf>
    <xf numFmtId="0" fontId="21" fillId="5" borderId="14" xfId="0" applyFont="1" applyFill="1" applyBorder="1" applyAlignment="1">
      <alignment horizontal="center" vertical="center"/>
    </xf>
    <xf numFmtId="2" fontId="18" fillId="0" borderId="14" xfId="0" applyNumberFormat="1" applyFont="1" applyBorder="1" applyAlignment="1">
      <alignment horizontal="center" vertical="center" wrapText="1"/>
    </xf>
    <xf numFmtId="2" fontId="21" fillId="6" borderId="14" xfId="0" applyNumberFormat="1" applyFont="1" applyFill="1" applyBorder="1" applyAlignment="1">
      <alignment horizontal="center" vertical="center"/>
    </xf>
    <xf numFmtId="0" fontId="21" fillId="20" borderId="14" xfId="0" applyFont="1" applyFill="1" applyBorder="1" applyAlignment="1">
      <alignment horizontal="center" vertical="center" wrapText="1"/>
    </xf>
    <xf numFmtId="2" fontId="21" fillId="17" borderId="14" xfId="0" applyNumberFormat="1" applyFont="1" applyFill="1" applyBorder="1" applyAlignment="1">
      <alignment horizontal="center" vertical="center" wrapText="1"/>
    </xf>
    <xf numFmtId="2" fontId="18" fillId="7" borderId="14" xfId="0" applyNumberFormat="1" applyFont="1" applyFill="1" applyBorder="1" applyAlignment="1">
      <alignment horizontal="center" vertical="center" wrapText="1"/>
    </xf>
    <xf numFmtId="2" fontId="21" fillId="19" borderId="14" xfId="0" applyNumberFormat="1" applyFont="1" applyFill="1" applyBorder="1" applyAlignment="1">
      <alignment horizontal="center" vertical="center" wrapText="1"/>
    </xf>
    <xf numFmtId="2" fontId="29" fillId="0" borderId="3" xfId="0" applyNumberFormat="1" applyFont="1" applyFill="1" applyBorder="1" applyAlignment="1">
      <alignment horizontal="center" vertical="center" wrapText="1"/>
    </xf>
    <xf numFmtId="0" fontId="29" fillId="0" borderId="14" xfId="0" applyFont="1" applyFill="1" applyBorder="1" applyAlignment="1">
      <alignment horizontal="center" vertical="center" wrapText="1"/>
    </xf>
    <xf numFmtId="169" fontId="29" fillId="0" borderId="14" xfId="0" applyNumberFormat="1" applyFont="1" applyFill="1" applyBorder="1" applyAlignment="1">
      <alignment horizontal="center" vertical="center"/>
    </xf>
    <xf numFmtId="0" fontId="3" fillId="0" borderId="14" xfId="0" applyFont="1" applyFill="1" applyBorder="1">
      <alignment vertical="center"/>
    </xf>
    <xf numFmtId="164" fontId="29" fillId="0" borderId="14" xfId="0" applyNumberFormat="1" applyFont="1" applyFill="1" applyBorder="1" applyAlignment="1">
      <alignment horizontal="center" vertical="center" wrapText="1"/>
    </xf>
    <xf numFmtId="44" fontId="29" fillId="0" borderId="14" xfId="2" applyFont="1" applyFill="1" applyBorder="1" applyAlignment="1">
      <alignment horizontal="center" vertical="center" wrapText="1"/>
    </xf>
    <xf numFmtId="0" fontId="21" fillId="17" borderId="14" xfId="0" applyFont="1" applyFill="1" applyBorder="1" applyAlignment="1">
      <alignment horizontal="center" vertical="center"/>
    </xf>
    <xf numFmtId="0" fontId="21" fillId="17" borderId="14" xfId="0" applyFont="1" applyFill="1" applyBorder="1" applyAlignment="1">
      <alignment horizontal="center" vertical="center" wrapText="1"/>
    </xf>
    <xf numFmtId="0" fontId="21" fillId="8" borderId="14" xfId="0" applyFont="1" applyFill="1" applyBorder="1" applyAlignment="1">
      <alignment horizontal="center" vertical="center"/>
    </xf>
    <xf numFmtId="0" fontId="21" fillId="17" borderId="14" xfId="0" applyFont="1" applyFill="1" applyBorder="1" applyAlignment="1">
      <alignment horizontal="center" vertical="center"/>
    </xf>
    <xf numFmtId="0" fontId="21" fillId="17" borderId="14" xfId="0" applyFont="1" applyFill="1" applyBorder="1" applyAlignment="1">
      <alignment horizontal="center" vertical="center" wrapText="1"/>
    </xf>
    <xf numFmtId="0" fontId="44" fillId="7" borderId="14" xfId="0" applyFont="1" applyFill="1" applyBorder="1" applyAlignment="1">
      <alignment horizontal="center" vertical="center"/>
    </xf>
    <xf numFmtId="0" fontId="45" fillId="8" borderId="14" xfId="0" applyFont="1" applyFill="1" applyBorder="1" applyAlignment="1">
      <alignment horizontal="center" vertical="center"/>
    </xf>
    <xf numFmtId="0" fontId="3" fillId="8" borderId="14" xfId="0" applyFont="1" applyFill="1" applyBorder="1" applyAlignment="1">
      <alignment vertical="center" wrapText="1"/>
    </xf>
    <xf numFmtId="2" fontId="44" fillId="7" borderId="3" xfId="0" applyNumberFormat="1" applyFont="1" applyFill="1" applyBorder="1" applyAlignment="1">
      <alignment horizontal="center" vertical="center" wrapText="1"/>
    </xf>
    <xf numFmtId="166" fontId="44" fillId="7" borderId="14" xfId="0" applyNumberFormat="1" applyFont="1" applyFill="1" applyBorder="1" applyAlignment="1">
      <alignment horizontal="center" vertical="center" wrapText="1"/>
    </xf>
    <xf numFmtId="167" fontId="44" fillId="7" borderId="14" xfId="0" applyNumberFormat="1" applyFont="1" applyFill="1" applyBorder="1" applyAlignment="1">
      <alignment horizontal="center" vertical="center"/>
    </xf>
    <xf numFmtId="169" fontId="44" fillId="7" borderId="14" xfId="0" applyNumberFormat="1" applyFont="1" applyFill="1" applyBorder="1" applyAlignment="1">
      <alignment horizontal="center" vertical="center"/>
    </xf>
    <xf numFmtId="164" fontId="44" fillId="0" borderId="14" xfId="0" applyNumberFormat="1" applyFont="1" applyBorder="1" applyAlignment="1">
      <alignment horizontal="center" vertical="center" wrapText="1"/>
    </xf>
    <xf numFmtId="0" fontId="45" fillId="0" borderId="14" xfId="0" applyFont="1" applyBorder="1" applyAlignment="1">
      <alignment horizontal="center" vertical="center"/>
    </xf>
    <xf numFmtId="0" fontId="3" fillId="18" borderId="14" xfId="0" applyFont="1" applyFill="1" applyBorder="1" applyAlignment="1">
      <alignment vertical="center" wrapText="1"/>
    </xf>
    <xf numFmtId="2" fontId="44" fillId="0" borderId="3" xfId="0" applyNumberFormat="1" applyFont="1" applyBorder="1" applyAlignment="1">
      <alignment horizontal="center" vertical="center"/>
    </xf>
    <xf numFmtId="0" fontId="44" fillId="3" borderId="14" xfId="0" applyFont="1" applyFill="1" applyBorder="1" applyAlignment="1">
      <alignment horizontal="center" vertical="center" wrapText="1"/>
    </xf>
    <xf numFmtId="167" fontId="44" fillId="0" borderId="14" xfId="0" applyNumberFormat="1" applyFont="1" applyBorder="1" applyAlignment="1">
      <alignment horizontal="center" vertical="center"/>
    </xf>
    <xf numFmtId="167" fontId="44" fillId="3" borderId="14" xfId="0" applyNumberFormat="1" applyFont="1" applyFill="1" applyBorder="1" applyAlignment="1">
      <alignment horizontal="center" vertical="center"/>
    </xf>
    <xf numFmtId="169" fontId="44" fillId="0" borderId="14" xfId="0" applyNumberFormat="1" applyFont="1" applyBorder="1" applyAlignment="1">
      <alignment horizontal="center" vertical="center"/>
    </xf>
    <xf numFmtId="167" fontId="44" fillId="8" borderId="14" xfId="0" applyNumberFormat="1" applyFont="1" applyFill="1" applyBorder="1" applyAlignment="1">
      <alignment horizontal="center" vertical="center"/>
    </xf>
    <xf numFmtId="169" fontId="44" fillId="8" borderId="14" xfId="0" applyNumberFormat="1" applyFont="1" applyFill="1" applyBorder="1" applyAlignment="1">
      <alignment horizontal="center" vertical="center"/>
    </xf>
    <xf numFmtId="164" fontId="35" fillId="8" borderId="0" xfId="0" applyNumberFormat="1" applyFont="1" applyFill="1" applyAlignment="1"/>
    <xf numFmtId="0" fontId="3" fillId="8" borderId="0" xfId="0" applyFont="1" applyFill="1">
      <alignment vertical="center"/>
    </xf>
    <xf numFmtId="0" fontId="18" fillId="0" borderId="14" xfId="0" applyFont="1" applyBorder="1" applyAlignment="1">
      <alignment vertical="center" wrapText="1"/>
    </xf>
    <xf numFmtId="0" fontId="18" fillId="18" borderId="14" xfId="0" applyFont="1" applyFill="1" applyBorder="1" applyAlignment="1">
      <alignment vertical="center" wrapText="1"/>
    </xf>
    <xf numFmtId="49" fontId="46" fillId="0" borderId="1" xfId="3" applyNumberFormat="1" applyFont="1" applyFill="1" applyBorder="1" applyAlignment="1">
      <alignment horizontal="center" vertical="center" wrapText="1"/>
    </xf>
    <xf numFmtId="0" fontId="18" fillId="0" borderId="14" xfId="0" applyFont="1" applyFill="1" applyBorder="1" applyAlignment="1">
      <alignment vertical="center" wrapText="1"/>
    </xf>
    <xf numFmtId="49" fontId="46" fillId="8" borderId="1" xfId="3" applyNumberFormat="1" applyFont="1" applyFill="1" applyBorder="1" applyAlignment="1">
      <alignment horizontal="center" vertical="center" wrapText="1"/>
    </xf>
    <xf numFmtId="0" fontId="44" fillId="0" borderId="14" xfId="0" applyFont="1" applyBorder="1" applyAlignment="1">
      <alignment horizontal="center" vertical="center"/>
    </xf>
    <xf numFmtId="0" fontId="3" fillId="0" borderId="14" xfId="0" applyFont="1" applyBorder="1" applyAlignment="1">
      <alignment vertical="center" wrapText="1"/>
    </xf>
    <xf numFmtId="166" fontId="44" fillId="0" borderId="14" xfId="0" applyNumberFormat="1" applyFont="1" applyBorder="1" applyAlignment="1">
      <alignment horizontal="center" vertical="center" wrapText="1"/>
    </xf>
    <xf numFmtId="0" fontId="3" fillId="0" borderId="14" xfId="0" applyFont="1" applyBorder="1">
      <alignment vertical="center"/>
    </xf>
    <xf numFmtId="10" fontId="22" fillId="0" borderId="0" xfId="9" applyNumberFormat="1" applyFont="1" applyAlignment="1">
      <alignment vertical="center"/>
    </xf>
    <xf numFmtId="10" fontId="16" fillId="0" borderId="0" xfId="9" applyNumberFormat="1" applyFont="1" applyAlignment="1">
      <alignment vertical="center"/>
    </xf>
    <xf numFmtId="174" fontId="20" fillId="0" borderId="0" xfId="9" applyNumberFormat="1" applyFont="1" applyAlignment="1"/>
    <xf numFmtId="0" fontId="30" fillId="2" borderId="14" xfId="0" applyFont="1" applyFill="1" applyBorder="1" applyAlignment="1">
      <alignment horizontal="left" vertical="center" wrapText="1"/>
    </xf>
    <xf numFmtId="0" fontId="30" fillId="2" borderId="29" xfId="0" applyFont="1" applyFill="1" applyBorder="1" applyAlignment="1">
      <alignment horizontal="left" vertical="center" wrapText="1"/>
    </xf>
    <xf numFmtId="10" fontId="18" fillId="0" borderId="0" xfId="0" applyNumberFormat="1" applyFont="1">
      <alignment vertical="center"/>
    </xf>
    <xf numFmtId="44" fontId="18" fillId="0" borderId="0" xfId="2" applyFont="1" applyAlignment="1">
      <alignment vertical="center"/>
    </xf>
    <xf numFmtId="44" fontId="5" fillId="0" borderId="0" xfId="0" applyNumberFormat="1" applyFont="1" applyAlignment="1"/>
    <xf numFmtId="10" fontId="28" fillId="2" borderId="1" xfId="0" applyNumberFormat="1" applyFont="1" applyFill="1" applyBorder="1" applyAlignment="1">
      <alignment horizontal="center" vertical="center" wrapText="1"/>
    </xf>
    <xf numFmtId="172" fontId="28" fillId="5" borderId="1" xfId="0" applyNumberFormat="1" applyFont="1" applyFill="1" applyBorder="1" applyAlignment="1">
      <alignment horizontal="center" vertical="center" wrapText="1"/>
    </xf>
    <xf numFmtId="10" fontId="27" fillId="3" borderId="1" xfId="0" applyNumberFormat="1" applyFont="1" applyFill="1" applyBorder="1" applyAlignment="1">
      <alignment horizontal="center" vertical="center" wrapText="1"/>
    </xf>
    <xf numFmtId="10" fontId="28" fillId="0" borderId="14" xfId="0" applyNumberFormat="1" applyFont="1" applyFill="1" applyBorder="1" applyAlignment="1">
      <alignment horizontal="center" vertical="center" wrapText="1"/>
    </xf>
    <xf numFmtId="4" fontId="18" fillId="0" borderId="0" xfId="0" applyNumberFormat="1" applyFont="1">
      <alignment vertical="center"/>
    </xf>
    <xf numFmtId="0" fontId="23" fillId="3" borderId="14" xfId="0" applyFont="1" applyFill="1" applyBorder="1" applyAlignment="1">
      <alignment horizontal="center" vertical="center" wrapText="1"/>
    </xf>
    <xf numFmtId="0" fontId="48" fillId="3" borderId="14" xfId="0" applyFont="1" applyFill="1" applyBorder="1" applyAlignment="1">
      <alignment horizontal="center" vertical="center" wrapText="1"/>
    </xf>
    <xf numFmtId="0" fontId="23" fillId="3" borderId="14" xfId="0" applyFont="1" applyFill="1" applyBorder="1" applyAlignment="1">
      <alignment horizontal="center" vertical="center"/>
    </xf>
    <xf numFmtId="0" fontId="23" fillId="3" borderId="1" xfId="0" applyFont="1" applyFill="1" applyBorder="1" applyAlignment="1">
      <alignment horizontal="center" vertical="center"/>
    </xf>
    <xf numFmtId="49" fontId="36" fillId="3" borderId="14" xfId="0" applyNumberFormat="1" applyFont="1" applyFill="1" applyBorder="1" applyAlignment="1">
      <alignment horizontal="center" vertical="center" wrapText="1"/>
    </xf>
    <xf numFmtId="10" fontId="36" fillId="3" borderId="14" xfId="0" applyNumberFormat="1" applyFont="1" applyFill="1" applyBorder="1" applyAlignment="1">
      <alignment horizontal="center" vertical="center" wrapText="1"/>
    </xf>
    <xf numFmtId="10" fontId="36" fillId="2" borderId="14" xfId="0" applyNumberFormat="1" applyFont="1" applyFill="1" applyBorder="1" applyAlignment="1">
      <alignment horizontal="center" vertical="center" wrapText="1"/>
    </xf>
    <xf numFmtId="10" fontId="36" fillId="2" borderId="1" xfId="0" applyNumberFormat="1" applyFont="1" applyFill="1" applyBorder="1" applyAlignment="1">
      <alignment horizontal="center" vertical="center" wrapText="1"/>
    </xf>
    <xf numFmtId="4" fontId="36" fillId="0" borderId="14" xfId="0" applyNumberFormat="1" applyFont="1" applyBorder="1" applyAlignment="1">
      <alignment horizontal="center" vertical="center" wrapText="1"/>
    </xf>
    <xf numFmtId="172" fontId="36" fillId="5" borderId="14" xfId="0" applyNumberFormat="1" applyFont="1" applyFill="1" applyBorder="1" applyAlignment="1">
      <alignment horizontal="center" vertical="center" wrapText="1"/>
    </xf>
    <xf numFmtId="172" fontId="36" fillId="5" borderId="1" xfId="0" applyNumberFormat="1" applyFont="1" applyFill="1" applyBorder="1" applyAlignment="1">
      <alignment horizontal="center" vertical="center" wrapText="1"/>
    </xf>
    <xf numFmtId="171" fontId="36" fillId="2" borderId="14" xfId="0" applyNumberFormat="1" applyFont="1" applyFill="1" applyBorder="1" applyAlignment="1">
      <alignment horizontal="center" vertical="center" wrapText="1"/>
    </xf>
    <xf numFmtId="4" fontId="28" fillId="3" borderId="14" xfId="0" applyNumberFormat="1" applyFont="1" applyFill="1" applyBorder="1" applyAlignment="1">
      <alignment horizontal="center" vertical="center" wrapText="1"/>
    </xf>
    <xf numFmtId="172" fontId="28" fillId="0" borderId="14" xfId="0" applyNumberFormat="1" applyFont="1" applyFill="1" applyBorder="1" applyAlignment="1">
      <alignment horizontal="center" vertical="center" wrapText="1"/>
    </xf>
    <xf numFmtId="0" fontId="30" fillId="2" borderId="14" xfId="0" applyFont="1" applyFill="1" applyBorder="1" applyAlignment="1">
      <alignment horizontal="left" vertical="center" wrapText="1"/>
    </xf>
    <xf numFmtId="0" fontId="29" fillId="0" borderId="14" xfId="0" applyFont="1" applyBorder="1" applyAlignment="1"/>
    <xf numFmtId="164" fontId="38" fillId="2" borderId="14" xfId="0" applyNumberFormat="1" applyFont="1" applyFill="1" applyBorder="1" applyAlignment="1">
      <alignment horizontal="center" vertical="center" wrapText="1"/>
    </xf>
    <xf numFmtId="0" fontId="1" fillId="0" borderId="14" xfId="0" applyFont="1" applyBorder="1" applyAlignment="1"/>
    <xf numFmtId="164" fontId="30" fillId="0" borderId="14" xfId="0" applyNumberFormat="1" applyFont="1" applyBorder="1" applyAlignment="1">
      <alignment horizontal="right" vertical="center" wrapText="1"/>
    </xf>
    <xf numFmtId="0" fontId="37" fillId="0" borderId="18" xfId="0" applyFont="1" applyBorder="1" applyAlignment="1">
      <alignment horizontal="center" vertical="center" wrapText="1"/>
    </xf>
    <xf numFmtId="0" fontId="37" fillId="0" borderId="17" xfId="0" applyFont="1" applyBorder="1" applyAlignment="1">
      <alignment horizontal="center" vertical="center" wrapText="1"/>
    </xf>
    <xf numFmtId="0" fontId="37" fillId="0" borderId="24" xfId="0" applyFont="1" applyBorder="1" applyAlignment="1">
      <alignment horizontal="center" vertical="center" wrapText="1"/>
    </xf>
    <xf numFmtId="0" fontId="37" fillId="0" borderId="27" xfId="0" applyFont="1" applyBorder="1" applyAlignment="1">
      <alignment horizontal="center" vertical="center" wrapText="1"/>
    </xf>
    <xf numFmtId="0" fontId="37" fillId="0" borderId="0" xfId="0" applyFont="1" applyBorder="1" applyAlignment="1">
      <alignment horizontal="center" vertical="center" wrapText="1"/>
    </xf>
    <xf numFmtId="0" fontId="37" fillId="0" borderId="28" xfId="0" applyFont="1" applyBorder="1" applyAlignment="1">
      <alignment horizontal="center" vertical="center" wrapText="1"/>
    </xf>
    <xf numFmtId="0" fontId="37" fillId="0" borderId="25" xfId="0" applyFont="1" applyBorder="1" applyAlignment="1">
      <alignment horizontal="center" vertical="center" wrapText="1"/>
    </xf>
    <xf numFmtId="0" fontId="37" fillId="0" borderId="23" xfId="0" applyFont="1" applyBorder="1" applyAlignment="1">
      <alignment horizontal="center" vertical="center" wrapText="1"/>
    </xf>
    <xf numFmtId="0" fontId="37" fillId="0" borderId="26" xfId="0" applyFont="1" applyBorder="1" applyAlignment="1">
      <alignment horizontal="center" vertical="center" wrapText="1"/>
    </xf>
    <xf numFmtId="164" fontId="1" fillId="0" borderId="18" xfId="0" applyNumberFormat="1" applyFont="1" applyBorder="1" applyAlignment="1">
      <alignment horizontal="center" vertical="center"/>
    </xf>
    <xf numFmtId="164" fontId="1" fillId="0" borderId="24" xfId="0" applyNumberFormat="1" applyFont="1" applyBorder="1" applyAlignment="1">
      <alignment horizontal="center" vertical="center"/>
    </xf>
    <xf numFmtId="164" fontId="1" fillId="0" borderId="25" xfId="0" applyNumberFormat="1" applyFont="1" applyBorder="1" applyAlignment="1">
      <alignment horizontal="center" vertical="center"/>
    </xf>
    <xf numFmtId="164" fontId="1" fillId="0" borderId="26" xfId="0" applyNumberFormat="1" applyFont="1" applyBorder="1" applyAlignment="1">
      <alignment horizontal="center" vertical="center"/>
    </xf>
    <xf numFmtId="0" fontId="38" fillId="0" borderId="18" xfId="0" applyFont="1" applyBorder="1" applyAlignment="1">
      <alignment horizontal="center" vertical="center"/>
    </xf>
    <xf numFmtId="0" fontId="38" fillId="0" borderId="17" xfId="0" applyFont="1" applyBorder="1" applyAlignment="1">
      <alignment horizontal="center" vertical="center"/>
    </xf>
    <xf numFmtId="0" fontId="38" fillId="0" borderId="24" xfId="0" applyFont="1" applyBorder="1" applyAlignment="1">
      <alignment horizontal="center" vertical="center"/>
    </xf>
    <xf numFmtId="0" fontId="38" fillId="0" borderId="25" xfId="0" applyFont="1" applyBorder="1" applyAlignment="1">
      <alignment horizontal="center" vertical="center"/>
    </xf>
    <xf numFmtId="0" fontId="38" fillId="0" borderId="23" xfId="0" applyFont="1" applyBorder="1" applyAlignment="1">
      <alignment horizontal="center" vertical="center"/>
    </xf>
    <xf numFmtId="0" fontId="38" fillId="0" borderId="26" xfId="0" applyFont="1" applyBorder="1" applyAlignment="1">
      <alignment horizontal="center" vertical="center"/>
    </xf>
    <xf numFmtId="0" fontId="38" fillId="0" borderId="29" xfId="0" applyFont="1" applyBorder="1" applyAlignment="1">
      <alignment horizontal="center" vertical="center" wrapText="1"/>
    </xf>
    <xf numFmtId="0" fontId="38" fillId="0" borderId="16" xfId="0" applyFont="1" applyBorder="1" applyAlignment="1">
      <alignment horizontal="center" vertical="center" wrapText="1"/>
    </xf>
    <xf numFmtId="10" fontId="1" fillId="0" borderId="29" xfId="0" applyNumberFormat="1" applyFont="1" applyBorder="1" applyAlignment="1">
      <alignment horizontal="center" vertical="center" wrapText="1"/>
    </xf>
    <xf numFmtId="10" fontId="1" fillId="0" borderId="16" xfId="0" applyNumberFormat="1" applyFont="1" applyBorder="1" applyAlignment="1">
      <alignment horizontal="center" vertical="center" wrapText="1"/>
    </xf>
    <xf numFmtId="14" fontId="1" fillId="0" borderId="29" xfId="0" applyNumberFormat="1" applyFont="1" applyBorder="1" applyAlignment="1">
      <alignment horizontal="center" vertical="center" wrapText="1"/>
    </xf>
    <xf numFmtId="14" fontId="1" fillId="0" borderId="16" xfId="0" applyNumberFormat="1" applyFont="1" applyBorder="1" applyAlignment="1">
      <alignment horizontal="center" vertical="center" wrapText="1"/>
    </xf>
    <xf numFmtId="164" fontId="1" fillId="0" borderId="14" xfId="0" applyNumberFormat="1" applyFont="1" applyBorder="1" applyAlignment="1">
      <alignment horizontal="center" vertical="center" wrapText="1"/>
    </xf>
    <xf numFmtId="0" fontId="30" fillId="0" borderId="25" xfId="0" applyFont="1" applyBorder="1" applyAlignment="1">
      <alignment horizontal="left" vertical="center" wrapText="1"/>
    </xf>
    <xf numFmtId="0" fontId="29" fillId="0" borderId="23" xfId="0" applyFont="1" applyBorder="1" applyAlignment="1"/>
    <xf numFmtId="0" fontId="29" fillId="0" borderId="26" xfId="0" applyFont="1" applyBorder="1" applyAlignment="1"/>
    <xf numFmtId="0" fontId="29" fillId="0" borderId="16" xfId="0" applyFont="1" applyBorder="1" applyAlignment="1"/>
    <xf numFmtId="0" fontId="29" fillId="0" borderId="27" xfId="0" applyFont="1" applyBorder="1" applyAlignment="1">
      <alignment horizontal="left" vertical="center" wrapText="1"/>
    </xf>
    <xf numFmtId="0" fontId="29" fillId="0" borderId="0" xfId="0" applyFont="1" applyBorder="1" applyAlignment="1"/>
    <xf numFmtId="0" fontId="29" fillId="0" borderId="28" xfId="0" applyFont="1" applyBorder="1" applyAlignment="1"/>
    <xf numFmtId="0" fontId="29" fillId="0" borderId="0" xfId="0" applyFont="1" applyBorder="1" applyAlignment="1">
      <alignment horizontal="left" vertical="center" wrapText="1"/>
    </xf>
    <xf numFmtId="0" fontId="29" fillId="0" borderId="28" xfId="0" applyFont="1" applyBorder="1" applyAlignment="1">
      <alignment horizontal="left" vertical="center" wrapText="1"/>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164" fontId="29" fillId="0" borderId="18" xfId="0" applyNumberFormat="1" applyFont="1" applyBorder="1" applyAlignment="1">
      <alignment horizontal="left" vertical="center" wrapText="1"/>
    </xf>
    <xf numFmtId="164" fontId="29" fillId="0" borderId="17" xfId="0" applyNumberFormat="1" applyFont="1" applyBorder="1" applyAlignment="1">
      <alignment horizontal="left" vertical="center" wrapText="1"/>
    </xf>
    <xf numFmtId="164" fontId="29" fillId="0" borderId="24" xfId="0" applyNumberFormat="1" applyFont="1" applyBorder="1" applyAlignment="1">
      <alignment horizontal="left" vertical="center" wrapText="1"/>
    </xf>
    <xf numFmtId="164" fontId="38" fillId="12" borderId="14" xfId="0" applyNumberFormat="1" applyFont="1" applyFill="1" applyBorder="1" applyAlignment="1">
      <alignment horizontal="center" vertical="center" wrapText="1"/>
    </xf>
    <xf numFmtId="0" fontId="1" fillId="12" borderId="14" xfId="0" applyFont="1" applyFill="1" applyBorder="1" applyAlignment="1"/>
    <xf numFmtId="0" fontId="30" fillId="2" borderId="29" xfId="0" applyFont="1" applyFill="1" applyBorder="1" applyAlignment="1">
      <alignment horizontal="left" vertical="center" wrapText="1"/>
    </xf>
    <xf numFmtId="164" fontId="30" fillId="2" borderId="14" xfId="0" applyNumberFormat="1" applyFont="1" applyFill="1" applyBorder="1" applyAlignment="1">
      <alignment horizontal="right" vertical="center" wrapText="1"/>
    </xf>
    <xf numFmtId="0" fontId="29" fillId="0" borderId="14" xfId="0" applyFont="1" applyBorder="1" applyAlignment="1">
      <alignment horizontal="right"/>
    </xf>
    <xf numFmtId="0" fontId="18" fillId="8" borderId="14" xfId="0" applyFont="1" applyFill="1" applyBorder="1" applyAlignment="1">
      <alignment horizontal="left" vertical="center" wrapText="1"/>
    </xf>
    <xf numFmtId="0" fontId="18" fillId="8" borderId="14" xfId="0" applyFont="1" applyFill="1" applyBorder="1" applyAlignment="1"/>
    <xf numFmtId="0" fontId="18" fillId="0" borderId="1" xfId="0" applyFont="1" applyBorder="1" applyAlignment="1">
      <alignment horizontal="left" vertical="center"/>
    </xf>
    <xf numFmtId="0" fontId="18" fillId="0" borderId="2" xfId="0" applyFont="1" applyBorder="1" applyAlignment="1">
      <alignment horizontal="left" vertical="center"/>
    </xf>
    <xf numFmtId="0" fontId="42" fillId="0" borderId="14" xfId="0" applyFont="1" applyBorder="1" applyAlignment="1">
      <alignment horizontal="left" vertical="center"/>
    </xf>
    <xf numFmtId="0" fontId="18" fillId="0" borderId="18" xfId="0" applyFont="1" applyBorder="1" applyAlignment="1">
      <alignment horizontal="left" vertical="center"/>
    </xf>
    <xf numFmtId="0" fontId="18" fillId="0" borderId="17" xfId="0" applyFont="1" applyBorder="1" applyAlignment="1">
      <alignment horizontal="left" vertical="center"/>
    </xf>
    <xf numFmtId="0" fontId="18" fillId="0" borderId="24" xfId="0" applyFont="1" applyBorder="1" applyAlignment="1">
      <alignment horizontal="left" vertical="center"/>
    </xf>
    <xf numFmtId="0" fontId="18" fillId="0" borderId="25" xfId="0" applyFont="1" applyBorder="1" applyAlignment="1">
      <alignment horizontal="left" vertical="center"/>
    </xf>
    <xf numFmtId="0" fontId="18" fillId="0" borderId="23" xfId="0" applyFont="1" applyBorder="1" applyAlignment="1">
      <alignment horizontal="left" vertical="center"/>
    </xf>
    <xf numFmtId="0" fontId="18" fillId="0" borderId="26" xfId="0" applyFont="1" applyBorder="1" applyAlignment="1">
      <alignment horizontal="left" vertical="center"/>
    </xf>
    <xf numFmtId="0" fontId="21" fillId="17" borderId="14" xfId="0" applyFont="1" applyFill="1" applyBorder="1" applyAlignment="1">
      <alignment horizontal="center" vertical="center"/>
    </xf>
    <xf numFmtId="0" fontId="18" fillId="17" borderId="14" xfId="0" applyFont="1" applyFill="1" applyBorder="1" applyAlignment="1"/>
    <xf numFmtId="0" fontId="18" fillId="0" borderId="27" xfId="0" applyFont="1" applyBorder="1" applyAlignment="1">
      <alignment horizontal="left" vertical="center"/>
    </xf>
    <xf numFmtId="0" fontId="18" fillId="0" borderId="28" xfId="0" applyFont="1" applyBorder="1" applyAlignment="1">
      <alignment horizontal="left" vertical="center"/>
    </xf>
    <xf numFmtId="0" fontId="18" fillId="0" borderId="14" xfId="0" applyFont="1" applyBorder="1" applyAlignment="1">
      <alignment horizontal="left" vertical="center"/>
    </xf>
    <xf numFmtId="0" fontId="18" fillId="0" borderId="3" xfId="0" applyFont="1" applyBorder="1" applyAlignment="1">
      <alignment horizontal="left" vertical="center"/>
    </xf>
    <xf numFmtId="0" fontId="21" fillId="17" borderId="1" xfId="0" applyFont="1" applyFill="1" applyBorder="1" applyAlignment="1">
      <alignment horizontal="center" vertical="center"/>
    </xf>
    <xf numFmtId="0" fontId="21" fillId="17" borderId="2" xfId="0" applyFont="1" applyFill="1" applyBorder="1" applyAlignment="1">
      <alignment horizontal="center" vertical="center"/>
    </xf>
    <xf numFmtId="0" fontId="21" fillId="17" borderId="3" xfId="0" applyFont="1" applyFill="1" applyBorder="1" applyAlignment="1">
      <alignment horizontal="center" vertical="center"/>
    </xf>
    <xf numFmtId="0" fontId="21" fillId="8" borderId="1" xfId="0" applyFont="1" applyFill="1" applyBorder="1" applyAlignment="1">
      <alignment horizontal="center" vertical="center"/>
    </xf>
    <xf numFmtId="0" fontId="21" fillId="8" borderId="2" xfId="0" applyFont="1" applyFill="1" applyBorder="1" applyAlignment="1">
      <alignment horizontal="center" vertical="center"/>
    </xf>
    <xf numFmtId="0" fontId="21" fillId="8" borderId="3" xfId="0" applyFont="1" applyFill="1" applyBorder="1" applyAlignment="1">
      <alignment horizontal="center" vertical="center"/>
    </xf>
    <xf numFmtId="0" fontId="42" fillId="0" borderId="1" xfId="8" applyFont="1" applyBorder="1" applyAlignment="1">
      <alignment horizontal="left" vertical="center"/>
    </xf>
    <xf numFmtId="0" fontId="42" fillId="0" borderId="2" xfId="8" applyFont="1" applyBorder="1" applyAlignment="1">
      <alignment horizontal="left" vertical="center"/>
    </xf>
    <xf numFmtId="0" fontId="42" fillId="0" borderId="3" xfId="8" applyFont="1" applyBorder="1" applyAlignment="1">
      <alignment horizontal="left" vertical="center"/>
    </xf>
    <xf numFmtId="0" fontId="21" fillId="8" borderId="14" xfId="0" applyFont="1" applyFill="1" applyBorder="1" applyAlignment="1">
      <alignment horizontal="center" vertical="center"/>
    </xf>
    <xf numFmtId="0" fontId="21" fillId="5" borderId="14" xfId="0" applyFont="1" applyFill="1" applyBorder="1" applyAlignment="1">
      <alignment horizontal="left" vertical="center" wrapText="1"/>
    </xf>
    <xf numFmtId="0" fontId="21" fillId="0" borderId="14" xfId="0" applyFont="1" applyBorder="1" applyAlignment="1"/>
    <xf numFmtId="0" fontId="18" fillId="9" borderId="18" xfId="0" applyFont="1" applyFill="1" applyBorder="1" applyAlignment="1">
      <alignment horizontal="left" vertical="center" wrapText="1"/>
    </xf>
    <xf numFmtId="0" fontId="18" fillId="9" borderId="17" xfId="0" applyFont="1" applyFill="1" applyBorder="1" applyAlignment="1">
      <alignment horizontal="left" vertical="center" wrapText="1"/>
    </xf>
    <xf numFmtId="0" fontId="18" fillId="9" borderId="24" xfId="0" applyFont="1" applyFill="1" applyBorder="1" applyAlignment="1">
      <alignment horizontal="left" vertical="center" wrapText="1"/>
    </xf>
    <xf numFmtId="0" fontId="18" fillId="9" borderId="25" xfId="0" applyFont="1" applyFill="1" applyBorder="1" applyAlignment="1">
      <alignment horizontal="left" vertical="center" wrapText="1"/>
    </xf>
    <xf numFmtId="0" fontId="18" fillId="9" borderId="23" xfId="0" applyFont="1" applyFill="1" applyBorder="1" applyAlignment="1">
      <alignment horizontal="left" vertical="center" wrapText="1"/>
    </xf>
    <xf numFmtId="0" fontId="18" fillId="9" borderId="26" xfId="0" applyFont="1" applyFill="1" applyBorder="1" applyAlignment="1">
      <alignment horizontal="left" vertical="center" wrapText="1"/>
    </xf>
    <xf numFmtId="0" fontId="18" fillId="8" borderId="18" xfId="0" applyFont="1" applyFill="1" applyBorder="1" applyAlignment="1">
      <alignment horizontal="left" vertical="center" wrapText="1"/>
    </xf>
    <xf numFmtId="0" fontId="18" fillId="8" borderId="17" xfId="0" applyFont="1" applyFill="1" applyBorder="1" applyAlignment="1">
      <alignment horizontal="left" vertical="center" wrapText="1"/>
    </xf>
    <xf numFmtId="0" fontId="18" fillId="8" borderId="24" xfId="0" applyFont="1" applyFill="1" applyBorder="1" applyAlignment="1">
      <alignment horizontal="left" vertical="center" wrapText="1"/>
    </xf>
    <xf numFmtId="0" fontId="18" fillId="8" borderId="25" xfId="0" applyFont="1" applyFill="1" applyBorder="1" applyAlignment="1">
      <alignment horizontal="left" vertical="center" wrapText="1"/>
    </xf>
    <xf numFmtId="0" fontId="18" fillId="8" borderId="23" xfId="0" applyFont="1" applyFill="1" applyBorder="1" applyAlignment="1">
      <alignment horizontal="left" vertical="center" wrapText="1"/>
    </xf>
    <xf numFmtId="0" fontId="18" fillId="8" borderId="26" xfId="0" applyFont="1" applyFill="1" applyBorder="1" applyAlignment="1">
      <alignment horizontal="left" vertical="center" wrapText="1"/>
    </xf>
    <xf numFmtId="0" fontId="18" fillId="0" borderId="0" xfId="0" applyFont="1" applyAlignment="1">
      <alignment horizontal="left" vertical="center"/>
    </xf>
    <xf numFmtId="0" fontId="18" fillId="8" borderId="18" xfId="0" applyFont="1" applyFill="1" applyBorder="1" applyAlignment="1">
      <alignment horizontal="left" vertical="center"/>
    </xf>
    <xf numFmtId="0" fontId="18" fillId="8" borderId="17" xfId="0" applyFont="1" applyFill="1" applyBorder="1" applyAlignment="1">
      <alignment horizontal="left" vertical="center"/>
    </xf>
    <xf numFmtId="0" fontId="18" fillId="8" borderId="24" xfId="0" applyFont="1" applyFill="1" applyBorder="1" applyAlignment="1">
      <alignment horizontal="left" vertical="center"/>
    </xf>
    <xf numFmtId="0" fontId="18" fillId="8" borderId="25" xfId="0" applyFont="1" applyFill="1" applyBorder="1" applyAlignment="1">
      <alignment horizontal="left" vertical="center"/>
    </xf>
    <xf numFmtId="0" fontId="18" fillId="8" borderId="23" xfId="0" applyFont="1" applyFill="1" applyBorder="1" applyAlignment="1">
      <alignment horizontal="left" vertical="center"/>
    </xf>
    <xf numFmtId="0" fontId="18" fillId="8" borderId="26" xfId="0" applyFont="1" applyFill="1" applyBorder="1" applyAlignment="1">
      <alignment horizontal="left" vertical="center"/>
    </xf>
    <xf numFmtId="0" fontId="21" fillId="12" borderId="14" xfId="0" applyFont="1" applyFill="1" applyBorder="1" applyAlignment="1">
      <alignment horizontal="center" vertical="center"/>
    </xf>
    <xf numFmtId="0" fontId="21" fillId="12" borderId="14" xfId="0" applyFont="1" applyFill="1" applyBorder="1" applyAlignment="1">
      <alignment horizontal="center" vertical="center" wrapText="1"/>
    </xf>
    <xf numFmtId="0" fontId="18" fillId="0" borderId="18"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26" xfId="0" applyFont="1" applyBorder="1" applyAlignment="1">
      <alignment horizontal="center" vertical="center" wrapText="1"/>
    </xf>
    <xf numFmtId="0" fontId="21" fillId="0" borderId="29" xfId="0" applyFont="1" applyBorder="1" applyAlignment="1">
      <alignment horizontal="center" vertical="center"/>
    </xf>
    <xf numFmtId="0" fontId="21" fillId="0" borderId="16" xfId="0" applyFont="1" applyBorder="1" applyAlignment="1">
      <alignment horizontal="center" vertical="center"/>
    </xf>
    <xf numFmtId="0" fontId="20" fillId="0" borderId="18"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24" xfId="0" applyFont="1" applyBorder="1" applyAlignment="1">
      <alignment horizontal="center" vertical="center" wrapText="1"/>
    </xf>
    <xf numFmtId="0" fontId="20" fillId="0" borderId="25" xfId="0" applyFont="1" applyBorder="1" applyAlignment="1">
      <alignment horizontal="center" vertical="center" wrapText="1"/>
    </xf>
    <xf numFmtId="0" fontId="20" fillId="0" borderId="23" xfId="0" applyFont="1" applyBorder="1" applyAlignment="1">
      <alignment horizontal="center" vertical="center" wrapText="1"/>
    </xf>
    <xf numFmtId="0" fontId="20" fillId="0" borderId="26" xfId="0" applyFont="1" applyBorder="1" applyAlignment="1">
      <alignment horizontal="center" vertical="center" wrapText="1"/>
    </xf>
    <xf numFmtId="10" fontId="18" fillId="0" borderId="29" xfId="0" applyNumberFormat="1" applyFont="1" applyBorder="1" applyAlignment="1">
      <alignment horizontal="center" vertical="center" wrapText="1"/>
    </xf>
    <xf numFmtId="10" fontId="18" fillId="0" borderId="16" xfId="0" applyNumberFormat="1" applyFont="1" applyBorder="1" applyAlignment="1">
      <alignment horizontal="center" vertical="center" wrapText="1"/>
    </xf>
    <xf numFmtId="14" fontId="20" fillId="0" borderId="29" xfId="0" applyNumberFormat="1" applyFont="1" applyBorder="1" applyAlignment="1">
      <alignment horizontal="center" vertical="center" wrapText="1"/>
    </xf>
    <xf numFmtId="14" fontId="20" fillId="0" borderId="16" xfId="0" applyNumberFormat="1" applyFont="1" applyBorder="1" applyAlignment="1">
      <alignment horizontal="center" vertical="center" wrapText="1"/>
    </xf>
    <xf numFmtId="0" fontId="20" fillId="0" borderId="14" xfId="0" applyFont="1" applyBorder="1" applyAlignment="1">
      <alignment horizontal="center" vertical="center"/>
    </xf>
    <xf numFmtId="0" fontId="18" fillId="0" borderId="14" xfId="0" applyFont="1" applyBorder="1" applyAlignment="1"/>
    <xf numFmtId="0" fontId="19" fillId="12" borderId="16" xfId="0" applyFont="1" applyFill="1" applyBorder="1" applyAlignment="1">
      <alignment horizontal="center" vertical="center"/>
    </xf>
    <xf numFmtId="0" fontId="18" fillId="12" borderId="16" xfId="0" applyFont="1" applyFill="1" applyBorder="1" applyAlignment="1"/>
    <xf numFmtId="0" fontId="19" fillId="0" borderId="14" xfId="0" applyFont="1" applyBorder="1" applyAlignment="1">
      <alignment horizontal="center" vertical="center"/>
    </xf>
    <xf numFmtId="0" fontId="21" fillId="4" borderId="14" xfId="0" applyFont="1" applyFill="1" applyBorder="1" applyAlignment="1">
      <alignment horizontal="left" vertical="center"/>
    </xf>
    <xf numFmtId="0" fontId="18" fillId="0" borderId="14" xfId="0" applyFont="1" applyBorder="1" applyAlignment="1">
      <alignment horizontal="left"/>
    </xf>
    <xf numFmtId="0" fontId="21" fillId="6" borderId="14" xfId="0" applyFont="1" applyFill="1" applyBorder="1" applyAlignment="1">
      <alignment horizontal="center" vertical="center"/>
    </xf>
    <xf numFmtId="0" fontId="18" fillId="5" borderId="14" xfId="0" applyFont="1" applyFill="1" applyBorder="1" applyAlignment="1">
      <alignment horizontal="left" vertical="center" wrapText="1"/>
    </xf>
    <xf numFmtId="168" fontId="18" fillId="17" borderId="14" xfId="0" applyNumberFormat="1" applyFont="1" applyFill="1" applyBorder="1" applyAlignment="1">
      <alignment horizontal="center" vertical="center"/>
    </xf>
    <xf numFmtId="0" fontId="21" fillId="2" borderId="14" xfId="0" applyFont="1" applyFill="1" applyBorder="1" applyAlignment="1">
      <alignment horizontal="left" vertical="center"/>
    </xf>
    <xf numFmtId="10" fontId="18" fillId="0" borderId="14" xfId="0" applyNumberFormat="1" applyFont="1" applyBorder="1" applyAlignment="1">
      <alignment horizontal="left" vertical="center" wrapText="1"/>
    </xf>
    <xf numFmtId="173" fontId="18" fillId="17" borderId="14" xfId="0" applyNumberFormat="1" applyFont="1" applyFill="1" applyBorder="1" applyAlignment="1">
      <alignment horizontal="center" vertical="center"/>
    </xf>
    <xf numFmtId="0" fontId="21" fillId="5" borderId="1" xfId="0" applyFont="1" applyFill="1" applyBorder="1" applyAlignment="1">
      <alignment horizontal="center" vertical="center" wrapText="1"/>
    </xf>
    <xf numFmtId="0" fontId="21" fillId="5" borderId="2" xfId="0" applyFont="1" applyFill="1" applyBorder="1" applyAlignment="1">
      <alignment horizontal="center" vertical="center" wrapText="1"/>
    </xf>
    <xf numFmtId="0" fontId="21" fillId="5" borderId="3" xfId="0" applyFont="1" applyFill="1" applyBorder="1" applyAlignment="1">
      <alignment horizontal="center" vertical="center" wrapText="1"/>
    </xf>
    <xf numFmtId="0" fontId="42" fillId="0" borderId="1" xfId="0" applyFont="1" applyBorder="1" applyAlignment="1">
      <alignment horizontal="left" vertical="center"/>
    </xf>
    <xf numFmtId="0" fontId="42" fillId="0" borderId="2" xfId="0" applyFont="1" applyBorder="1" applyAlignment="1">
      <alignment horizontal="left" vertical="center"/>
    </xf>
    <xf numFmtId="0" fontId="42" fillId="0" borderId="3" xfId="0" applyFont="1" applyBorder="1" applyAlignment="1">
      <alignment horizontal="left" vertical="center"/>
    </xf>
    <xf numFmtId="0" fontId="21" fillId="2" borderId="1" xfId="0" applyFont="1" applyFill="1" applyBorder="1" applyAlignment="1">
      <alignment horizontal="left" vertical="center"/>
    </xf>
    <xf numFmtId="0" fontId="21" fillId="2" borderId="2" xfId="0" applyFont="1" applyFill="1" applyBorder="1" applyAlignment="1">
      <alignment horizontal="left" vertical="center"/>
    </xf>
    <xf numFmtId="0" fontId="21" fillId="2" borderId="3" xfId="0" applyFont="1" applyFill="1" applyBorder="1" applyAlignment="1">
      <alignment horizontal="left" vertical="center"/>
    </xf>
    <xf numFmtId="0" fontId="42" fillId="0" borderId="18" xfId="0" applyFont="1" applyBorder="1" applyAlignment="1">
      <alignment horizontal="left" vertical="center"/>
    </xf>
    <xf numFmtId="0" fontId="42" fillId="0" borderId="17" xfId="0" applyFont="1" applyBorder="1" applyAlignment="1">
      <alignment horizontal="left" vertical="center"/>
    </xf>
    <xf numFmtId="0" fontId="42" fillId="0" borderId="25" xfId="0" applyFont="1" applyBorder="1" applyAlignment="1">
      <alignment horizontal="left" vertical="center"/>
    </xf>
    <xf numFmtId="0" fontId="42" fillId="0" borderId="23" xfId="0" applyFont="1" applyBorder="1" applyAlignment="1">
      <alignment horizontal="left" vertical="center"/>
    </xf>
    <xf numFmtId="0" fontId="42" fillId="0" borderId="27" xfId="0" applyFont="1" applyBorder="1" applyAlignment="1">
      <alignment horizontal="left" vertical="center"/>
    </xf>
    <xf numFmtId="0" fontId="42" fillId="0" borderId="28" xfId="0" applyFont="1" applyBorder="1" applyAlignment="1">
      <alignment horizontal="left" vertical="center"/>
    </xf>
    <xf numFmtId="0" fontId="42" fillId="0" borderId="26" xfId="0" applyFont="1" applyBorder="1" applyAlignment="1">
      <alignment horizontal="left" vertical="center"/>
    </xf>
    <xf numFmtId="0" fontId="42" fillId="0" borderId="24" xfId="0" applyFont="1" applyBorder="1" applyAlignment="1">
      <alignment horizontal="left" vertical="center"/>
    </xf>
    <xf numFmtId="0" fontId="42" fillId="0" borderId="0" xfId="0" applyFont="1" applyAlignment="1">
      <alignment horizontal="left" vertical="center"/>
    </xf>
    <xf numFmtId="0" fontId="41" fillId="0" borderId="14" xfId="0" applyFont="1" applyBorder="1" applyAlignment="1">
      <alignment horizontal="left" vertical="center"/>
    </xf>
    <xf numFmtId="0" fontId="18" fillId="7" borderId="14" xfId="0" applyFont="1" applyFill="1" applyBorder="1" applyAlignment="1">
      <alignment horizontal="left" vertical="center" wrapText="1"/>
    </xf>
    <xf numFmtId="0" fontId="21" fillId="20" borderId="1" xfId="0" applyFont="1" applyFill="1" applyBorder="1" applyAlignment="1">
      <alignment horizontal="left" vertical="center" wrapText="1"/>
    </xf>
    <xf numFmtId="0" fontId="21" fillId="20" borderId="2" xfId="0" applyFont="1" applyFill="1" applyBorder="1" applyAlignment="1">
      <alignment horizontal="left" vertical="center" wrapText="1"/>
    </xf>
    <xf numFmtId="0" fontId="21" fillId="20" borderId="3" xfId="0" applyFont="1" applyFill="1" applyBorder="1" applyAlignment="1">
      <alignment horizontal="left" vertical="center" wrapText="1"/>
    </xf>
    <xf numFmtId="0" fontId="21" fillId="17" borderId="14" xfId="0" applyFont="1" applyFill="1" applyBorder="1" applyAlignment="1">
      <alignment horizontal="center" vertical="center" wrapText="1"/>
    </xf>
    <xf numFmtId="0" fontId="21" fillId="5" borderId="1" xfId="0" applyFont="1" applyFill="1" applyBorder="1" applyAlignment="1">
      <alignment horizontal="left" vertical="center" wrapText="1"/>
    </xf>
    <xf numFmtId="0" fontId="21" fillId="5" borderId="2" xfId="0" applyFont="1" applyFill="1" applyBorder="1" applyAlignment="1">
      <alignment horizontal="left" vertical="center" wrapText="1"/>
    </xf>
    <xf numFmtId="0" fontId="21" fillId="5" borderId="3" xfId="0" applyFont="1" applyFill="1" applyBorder="1" applyAlignment="1">
      <alignment horizontal="left" vertical="center" wrapText="1"/>
    </xf>
    <xf numFmtId="0" fontId="18" fillId="0" borderId="14" xfId="0" applyFont="1" applyFill="1" applyBorder="1" applyAlignment="1">
      <alignment horizontal="left" vertical="center" wrapText="1"/>
    </xf>
    <xf numFmtId="0" fontId="18" fillId="0" borderId="14" xfId="0" applyFont="1" applyFill="1" applyBorder="1" applyAlignment="1"/>
    <xf numFmtId="0" fontId="18" fillId="8" borderId="1" xfId="0" applyFont="1" applyFill="1" applyBorder="1" applyAlignment="1">
      <alignment horizontal="left" vertical="center" wrapText="1"/>
    </xf>
    <xf numFmtId="0" fontId="18" fillId="8" borderId="2" xfId="0" applyFont="1" applyFill="1" applyBorder="1" applyAlignment="1">
      <alignment horizontal="left" vertical="center" wrapText="1"/>
    </xf>
    <xf numFmtId="0" fontId="18" fillId="8" borderId="3" xfId="0" applyFont="1" applyFill="1" applyBorder="1" applyAlignment="1">
      <alignment horizontal="left" vertical="center" wrapText="1"/>
    </xf>
    <xf numFmtId="0" fontId="42" fillId="0" borderId="14" xfId="0" applyFont="1" applyBorder="1" applyAlignment="1">
      <alignment vertical="center"/>
    </xf>
    <xf numFmtId="0" fontId="18" fillId="0" borderId="1" xfId="0" applyFont="1" applyBorder="1" applyAlignment="1">
      <alignment horizontal="left"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168" fontId="8" fillId="5" borderId="13" xfId="0" applyNumberFormat="1" applyFont="1" applyFill="1" applyBorder="1" applyAlignment="1">
      <alignment horizontal="center" vertical="center" wrapText="1"/>
    </xf>
    <xf numFmtId="0" fontId="3" fillId="0" borderId="9" xfId="0" applyFont="1" applyBorder="1" applyAlignment="1"/>
    <xf numFmtId="0" fontId="8" fillId="5" borderId="7" xfId="0" applyFont="1" applyFill="1" applyBorder="1" applyAlignment="1">
      <alignment horizontal="right" vertical="center"/>
    </xf>
    <xf numFmtId="0" fontId="3" fillId="0" borderId="8" xfId="0" applyFont="1" applyBorder="1" applyAlignment="1"/>
    <xf numFmtId="0" fontId="3" fillId="0" borderId="10" xfId="0" applyFont="1" applyBorder="1" applyAlignment="1"/>
    <xf numFmtId="2" fontId="2" fillId="5" borderId="7" xfId="0" applyNumberFormat="1" applyFont="1" applyFill="1" applyBorder="1" applyAlignment="1">
      <alignment horizontal="left" vertical="center"/>
    </xf>
    <xf numFmtId="0" fontId="8" fillId="5" borderId="13" xfId="0" applyFont="1" applyFill="1" applyBorder="1" applyAlignment="1">
      <alignment horizontal="center" vertical="center" wrapText="1"/>
    </xf>
    <xf numFmtId="2" fontId="8" fillId="2" borderId="7" xfId="0" applyNumberFormat="1" applyFont="1" applyFill="1" applyBorder="1" applyAlignment="1">
      <alignment horizontal="left" vertical="center"/>
    </xf>
    <xf numFmtId="2" fontId="2" fillId="5" borderId="7" xfId="0" applyNumberFormat="1" applyFont="1" applyFill="1" applyBorder="1" applyAlignment="1">
      <alignment horizontal="left" vertical="center" wrapText="1"/>
    </xf>
    <xf numFmtId="0" fontId="3" fillId="0" borderId="8" xfId="0" applyFont="1" applyBorder="1" applyAlignment="1">
      <alignment wrapText="1"/>
    </xf>
    <xf numFmtId="0" fontId="3" fillId="0" borderId="10" xfId="0" applyFont="1" applyBorder="1" applyAlignment="1">
      <alignment wrapText="1"/>
    </xf>
    <xf numFmtId="0" fontId="15" fillId="0" borderId="11" xfId="0" applyFont="1" applyBorder="1" applyAlignment="1">
      <alignment horizontal="center" vertical="center" wrapText="1"/>
    </xf>
    <xf numFmtId="0" fontId="3" fillId="0" borderId="12" xfId="0" applyFont="1" applyBorder="1" applyAlignment="1"/>
    <xf numFmtId="0" fontId="3" fillId="0" borderId="19" xfId="0" applyFont="1" applyBorder="1" applyAlignment="1"/>
    <xf numFmtId="0" fontId="3" fillId="0" borderId="20" xfId="0" applyFont="1" applyBorder="1" applyAlignment="1"/>
    <xf numFmtId="0" fontId="2" fillId="0" borderId="0" xfId="0" applyFont="1" applyAlignment="1"/>
    <xf numFmtId="0" fontId="3" fillId="0" borderId="21" xfId="0" applyFont="1" applyBorder="1" applyAlignment="1"/>
    <xf numFmtId="0" fontId="3" fillId="0" borderId="22" xfId="0" applyFont="1" applyBorder="1" applyAlignment="1"/>
    <xf numFmtId="0" fontId="3" fillId="0" borderId="4" xfId="0" applyFont="1" applyBorder="1" applyAlignment="1"/>
    <xf numFmtId="0" fontId="3" fillId="0" borderId="5" xfId="0" applyFont="1" applyBorder="1" applyAlignment="1"/>
    <xf numFmtId="0" fontId="7" fillId="0" borderId="7" xfId="0" applyFont="1" applyBorder="1" applyAlignment="1">
      <alignment horizontal="center" vertical="center"/>
    </xf>
    <xf numFmtId="0" fontId="6" fillId="0" borderId="11" xfId="0" applyFont="1" applyBorder="1" applyAlignment="1">
      <alignment horizontal="center" vertical="center"/>
    </xf>
    <xf numFmtId="0" fontId="7" fillId="2" borderId="22" xfId="0" applyFont="1" applyFill="1" applyBorder="1" applyAlignment="1">
      <alignment horizontal="center" vertical="center"/>
    </xf>
    <xf numFmtId="14" fontId="20" fillId="0" borderId="14" xfId="0" applyNumberFormat="1" applyFont="1" applyBorder="1" applyAlignment="1">
      <alignment horizontal="center" vertical="center"/>
    </xf>
    <xf numFmtId="0" fontId="20" fillId="3" borderId="14" xfId="0" applyFont="1" applyFill="1" applyBorder="1" applyAlignment="1">
      <alignment horizontal="center" vertical="center"/>
    </xf>
    <xf numFmtId="0" fontId="19" fillId="3" borderId="14" xfId="0" applyFont="1" applyFill="1" applyBorder="1" applyAlignment="1">
      <alignment horizontal="center" vertical="center" wrapText="1"/>
    </xf>
    <xf numFmtId="10" fontId="20" fillId="0" borderId="14" xfId="0" applyNumberFormat="1" applyFont="1" applyBorder="1" applyAlignment="1">
      <alignment horizontal="center" vertical="center"/>
    </xf>
    <xf numFmtId="0" fontId="10" fillId="0" borderId="7" xfId="0" applyFont="1" applyBorder="1" applyAlignment="1">
      <alignment horizontal="center" vertical="center"/>
    </xf>
    <xf numFmtId="0" fontId="3" fillId="0" borderId="8" xfId="0" applyFont="1" applyBorder="1" applyAlignment="1">
      <alignment horizontal="center"/>
    </xf>
    <xf numFmtId="0" fontId="3" fillId="0" borderId="10" xfId="0" applyFont="1" applyBorder="1" applyAlignment="1">
      <alignment horizontal="center"/>
    </xf>
    <xf numFmtId="0" fontId="23" fillId="17" borderId="1" xfId="0" applyFont="1" applyFill="1" applyBorder="1" applyAlignment="1">
      <alignment horizontal="center" vertical="center"/>
    </xf>
    <xf numFmtId="0" fontId="23" fillId="17" borderId="2" xfId="0" applyFont="1" applyFill="1" applyBorder="1" applyAlignment="1">
      <alignment horizontal="center" vertical="center"/>
    </xf>
    <xf numFmtId="0" fontId="23" fillId="17" borderId="3" xfId="0" applyFont="1" applyFill="1" applyBorder="1" applyAlignment="1">
      <alignment horizontal="center" vertical="center"/>
    </xf>
    <xf numFmtId="2" fontId="3" fillId="17" borderId="1" xfId="0" applyNumberFormat="1" applyFont="1" applyFill="1" applyBorder="1" applyAlignment="1">
      <alignment horizontal="center" vertical="center" wrapText="1"/>
    </xf>
    <xf numFmtId="0" fontId="3" fillId="17" borderId="2" xfId="0" applyFont="1" applyFill="1" applyBorder="1" applyAlignment="1">
      <alignment horizontal="center" vertical="center" wrapText="1"/>
    </xf>
    <xf numFmtId="0" fontId="3" fillId="17" borderId="3" xfId="0" applyFont="1" applyFill="1" applyBorder="1" applyAlignment="1">
      <alignment horizontal="center" vertical="center" wrapText="1"/>
    </xf>
    <xf numFmtId="0" fontId="14" fillId="3" borderId="0" xfId="0" applyFont="1" applyFill="1" applyAlignment="1">
      <alignment horizontal="center" vertical="top"/>
    </xf>
    <xf numFmtId="0" fontId="3" fillId="0" borderId="0" xfId="0" applyFont="1" applyAlignment="1"/>
    <xf numFmtId="0" fontId="10" fillId="0" borderId="0" xfId="0" applyFont="1" applyAlignment="1">
      <alignment horizontal="left" vertical="center"/>
    </xf>
    <xf numFmtId="168" fontId="7" fillId="0" borderId="13" xfId="0" applyNumberFormat="1" applyFont="1" applyBorder="1" applyAlignment="1">
      <alignment horizontal="center" vertical="center"/>
    </xf>
    <xf numFmtId="0" fontId="7" fillId="0" borderId="11" xfId="0" applyFont="1" applyBorder="1" applyAlignment="1">
      <alignment horizontal="center" vertical="center"/>
    </xf>
    <xf numFmtId="0" fontId="23" fillId="0" borderId="12" xfId="0" applyFont="1" applyBorder="1" applyAlignment="1"/>
    <xf numFmtId="0" fontId="23" fillId="0" borderId="19" xfId="0" applyFont="1" applyBorder="1" applyAlignment="1"/>
    <xf numFmtId="0" fontId="23" fillId="0" borderId="22" xfId="0" applyFont="1" applyBorder="1" applyAlignment="1"/>
    <xf numFmtId="0" fontId="23" fillId="0" borderId="4" xfId="0" applyFont="1" applyBorder="1" applyAlignment="1"/>
    <xf numFmtId="0" fontId="23" fillId="0" borderId="5" xfId="0" applyFont="1" applyBorder="1" applyAlignment="1"/>
    <xf numFmtId="0" fontId="7" fillId="21" borderId="7" xfId="0" applyFont="1" applyFill="1" applyBorder="1" applyAlignment="1">
      <alignment horizontal="center" vertical="center"/>
    </xf>
    <xf numFmtId="0" fontId="3" fillId="12" borderId="8" xfId="0" applyFont="1" applyFill="1" applyBorder="1" applyAlignment="1"/>
    <xf numFmtId="0" fontId="3" fillId="12" borderId="10" xfId="0" applyFont="1" applyFill="1" applyBorder="1" applyAlignment="1"/>
    <xf numFmtId="10" fontId="6" fillId="0" borderId="13" xfId="0" applyNumberFormat="1" applyFont="1" applyBorder="1" applyAlignment="1">
      <alignment horizontal="center" vertical="center"/>
    </xf>
    <xf numFmtId="0" fontId="3" fillId="17" borderId="1" xfId="0" applyFont="1" applyFill="1" applyBorder="1" applyAlignment="1">
      <alignment horizontal="center" vertical="center" wrapText="1"/>
    </xf>
    <xf numFmtId="0" fontId="6" fillId="0" borderId="7" xfId="0" applyFont="1" applyBorder="1" applyAlignment="1">
      <alignment horizontal="center" vertical="center"/>
    </xf>
    <xf numFmtId="0" fontId="6" fillId="0" borderId="13" xfId="0" applyFont="1" applyBorder="1" applyAlignment="1">
      <alignment horizontal="center" vertical="center"/>
    </xf>
    <xf numFmtId="14" fontId="6" fillId="0" borderId="13" xfId="0" applyNumberFormat="1" applyFont="1" applyBorder="1" applyAlignment="1">
      <alignment horizontal="center" vertical="center"/>
    </xf>
    <xf numFmtId="0" fontId="34" fillId="0" borderId="14" xfId="4" applyFont="1" applyBorder="1" applyAlignment="1">
      <alignment horizontal="center" vertical="center"/>
    </xf>
    <xf numFmtId="0" fontId="33" fillId="0" borderId="14" xfId="3" applyNumberFormat="1" applyFont="1" applyFill="1" applyBorder="1" applyAlignment="1">
      <alignment horizontal="center" vertical="center" wrapText="1"/>
    </xf>
    <xf numFmtId="0" fontId="34" fillId="12" borderId="14" xfId="0" applyFont="1" applyFill="1" applyBorder="1" applyAlignment="1">
      <alignment horizontal="center" vertical="center" wrapText="1"/>
    </xf>
    <xf numFmtId="0" fontId="3" fillId="0" borderId="14"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24" xfId="0" applyFont="1" applyBorder="1" applyAlignment="1">
      <alignment horizontal="center" vertical="center" wrapText="1"/>
    </xf>
    <xf numFmtId="0" fontId="23" fillId="12" borderId="14" xfId="0" applyFont="1" applyFill="1" applyBorder="1" applyAlignment="1">
      <alignment horizontal="center" vertical="center" wrapText="1"/>
    </xf>
    <xf numFmtId="0" fontId="3" fillId="0" borderId="14" xfId="4" applyBorder="1" applyAlignment="1">
      <alignment horizontal="justify" vertical="center" wrapText="1"/>
    </xf>
    <xf numFmtId="10" fontId="3" fillId="13" borderId="14" xfId="4" applyNumberFormat="1" applyFill="1" applyBorder="1" applyAlignment="1" applyProtection="1">
      <alignment horizontal="center" vertical="center"/>
      <protection locked="0"/>
    </xf>
    <xf numFmtId="0" fontId="23" fillId="0" borderId="14" xfId="4" applyFont="1" applyBorder="1" applyAlignment="1">
      <alignment horizontal="left" vertical="center" wrapText="1"/>
    </xf>
    <xf numFmtId="0" fontId="3" fillId="14" borderId="25" xfId="4" applyFill="1" applyBorder="1" applyAlignment="1">
      <alignment horizontal="left" vertical="center" wrapText="1"/>
    </xf>
    <xf numFmtId="0" fontId="3" fillId="14" borderId="23" xfId="4" applyFill="1" applyBorder="1" applyAlignment="1">
      <alignment horizontal="left" vertical="center" wrapText="1"/>
    </xf>
    <xf numFmtId="0" fontId="3" fillId="14" borderId="26" xfId="4" applyFill="1" applyBorder="1" applyAlignment="1">
      <alignment horizontal="left" vertical="center" wrapText="1"/>
    </xf>
    <xf numFmtId="0" fontId="3" fillId="8" borderId="27" xfId="4" applyFill="1" applyBorder="1" applyAlignment="1">
      <alignment horizontal="center" vertical="center"/>
    </xf>
    <xf numFmtId="0" fontId="3" fillId="8" borderId="0" xfId="4" applyFill="1" applyAlignment="1">
      <alignment horizontal="center" vertical="center"/>
    </xf>
    <xf numFmtId="0" fontId="3" fillId="8" borderId="28" xfId="4" applyFill="1" applyBorder="1" applyAlignment="1">
      <alignment horizontal="center" vertical="center"/>
    </xf>
    <xf numFmtId="0" fontId="0" fillId="0" borderId="14" xfId="4" applyFont="1" applyBorder="1" applyAlignment="1">
      <alignment horizontal="center" vertical="center" wrapText="1"/>
    </xf>
    <xf numFmtId="0" fontId="35" fillId="15" borderId="14" xfId="4" applyFont="1" applyFill="1" applyBorder="1" applyAlignment="1">
      <alignment horizontal="center" vertical="center" wrapText="1"/>
    </xf>
    <xf numFmtId="0" fontId="35" fillId="16" borderId="27" xfId="4" applyFont="1" applyFill="1" applyBorder="1" applyAlignment="1">
      <alignment horizontal="center" vertical="center" wrapText="1"/>
    </xf>
    <xf numFmtId="0" fontId="35" fillId="16" borderId="0" xfId="4" applyFont="1" applyFill="1" applyAlignment="1">
      <alignment horizontal="center" vertical="center" wrapText="1"/>
    </xf>
    <xf numFmtId="0" fontId="35" fillId="16" borderId="28" xfId="4" applyFont="1" applyFill="1" applyBorder="1" applyAlignment="1">
      <alignment horizontal="center" vertical="center" wrapText="1"/>
    </xf>
    <xf numFmtId="0" fontId="36" fillId="8" borderId="14" xfId="4" applyFont="1" applyFill="1" applyBorder="1" applyAlignment="1">
      <alignment horizontal="center" vertical="center" wrapText="1"/>
    </xf>
    <xf numFmtId="49" fontId="0" fillId="13" borderId="14" xfId="4" applyNumberFormat="1" applyFont="1" applyFill="1" applyBorder="1" applyAlignment="1" applyProtection="1">
      <alignment horizontal="center" vertical="top" wrapText="1"/>
      <protection locked="0"/>
    </xf>
    <xf numFmtId="0" fontId="3" fillId="8" borderId="27" xfId="4" applyFill="1" applyBorder="1" applyAlignment="1">
      <alignment horizontal="center"/>
    </xf>
    <xf numFmtId="0" fontId="3" fillId="8" borderId="0" xfId="4" applyFill="1" applyAlignment="1">
      <alignment horizontal="center"/>
    </xf>
    <xf numFmtId="0" fontId="3" fillId="8" borderId="28" xfId="4" applyFill="1" applyBorder="1" applyAlignment="1">
      <alignment horizontal="center"/>
    </xf>
    <xf numFmtId="0" fontId="3" fillId="8" borderId="25" xfId="4" applyFill="1" applyBorder="1" applyAlignment="1">
      <alignment horizontal="center"/>
    </xf>
    <xf numFmtId="0" fontId="3" fillId="8" borderId="23" xfId="4" applyFill="1" applyBorder="1" applyAlignment="1">
      <alignment horizontal="center"/>
    </xf>
    <xf numFmtId="0" fontId="3" fillId="8" borderId="26" xfId="4" applyFill="1" applyBorder="1" applyAlignment="1">
      <alignment horizontal="center"/>
    </xf>
    <xf numFmtId="0" fontId="26" fillId="0" borderId="18" xfId="0" applyFont="1" applyBorder="1" applyAlignment="1">
      <alignment horizontal="center" vertical="center" wrapText="1"/>
    </xf>
    <xf numFmtId="0" fontId="26" fillId="0" borderId="17" xfId="0" applyFont="1" applyBorder="1" applyAlignment="1">
      <alignment horizontal="center" vertical="center" wrapText="1"/>
    </xf>
    <xf numFmtId="0" fontId="26" fillId="0" borderId="24" xfId="0" applyFont="1" applyBorder="1" applyAlignment="1">
      <alignment horizontal="center" vertical="center" wrapText="1"/>
    </xf>
    <xf numFmtId="0" fontId="26" fillId="0" borderId="27" xfId="0" applyFont="1" applyBorder="1" applyAlignment="1">
      <alignment horizontal="center" vertical="center" wrapText="1"/>
    </xf>
    <xf numFmtId="0" fontId="26" fillId="0" borderId="0" xfId="0" applyFont="1" applyBorder="1" applyAlignment="1">
      <alignment horizontal="center" vertical="center" wrapText="1"/>
    </xf>
    <xf numFmtId="0" fontId="26" fillId="0" borderId="28" xfId="0" applyFont="1" applyBorder="1" applyAlignment="1">
      <alignment horizontal="center" vertical="center" wrapText="1"/>
    </xf>
    <xf numFmtId="0" fontId="26" fillId="0" borderId="25" xfId="0" applyFont="1" applyBorder="1" applyAlignment="1">
      <alignment horizontal="center" vertical="center" wrapText="1"/>
    </xf>
    <xf numFmtId="0" fontId="26" fillId="0" borderId="23" xfId="0" applyFont="1" applyBorder="1" applyAlignment="1">
      <alignment horizontal="center" vertical="center" wrapText="1"/>
    </xf>
    <xf numFmtId="0" fontId="26" fillId="0" borderId="26" xfId="0" applyFont="1" applyBorder="1" applyAlignment="1">
      <alignment horizontal="center" vertical="center" wrapText="1"/>
    </xf>
    <xf numFmtId="0" fontId="20" fillId="3" borderId="18" xfId="0" applyFont="1" applyFill="1" applyBorder="1" applyAlignment="1">
      <alignment horizontal="center" vertical="center"/>
    </xf>
    <xf numFmtId="0" fontId="20" fillId="3" borderId="25" xfId="0" applyFont="1" applyFill="1" applyBorder="1" applyAlignment="1">
      <alignment horizontal="center" vertical="center"/>
    </xf>
    <xf numFmtId="0" fontId="20" fillId="3" borderId="18" xfId="0" applyFont="1" applyFill="1" applyBorder="1" applyAlignment="1">
      <alignment horizontal="center" vertical="center" wrapText="1"/>
    </xf>
    <xf numFmtId="0" fontId="20" fillId="3" borderId="17" xfId="0" applyFont="1" applyFill="1" applyBorder="1" applyAlignment="1">
      <alignment horizontal="center" vertical="center" wrapText="1"/>
    </xf>
    <xf numFmtId="0" fontId="20" fillId="3" borderId="24" xfId="0" applyFont="1" applyFill="1" applyBorder="1" applyAlignment="1">
      <alignment horizontal="center" vertical="center" wrapText="1"/>
    </xf>
    <xf numFmtId="0" fontId="20" fillId="3" borderId="25"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20" fillId="3" borderId="26" xfId="0" applyFont="1" applyFill="1" applyBorder="1" applyAlignment="1">
      <alignment horizontal="center" vertical="center" wrapText="1"/>
    </xf>
    <xf numFmtId="14" fontId="18" fillId="3" borderId="14" xfId="0" applyNumberFormat="1" applyFont="1" applyFill="1" applyBorder="1" applyAlignment="1">
      <alignment horizontal="center" vertical="center" wrapText="1"/>
    </xf>
    <xf numFmtId="10" fontId="18" fillId="3" borderId="14" xfId="0" applyNumberFormat="1" applyFont="1" applyFill="1" applyBorder="1" applyAlignment="1">
      <alignment horizontal="center" vertical="center" wrapText="1"/>
    </xf>
    <xf numFmtId="0" fontId="21" fillId="0" borderId="29" xfId="0" applyFont="1" applyBorder="1" applyAlignment="1">
      <alignment horizontal="center" vertical="center" wrapText="1"/>
    </xf>
    <xf numFmtId="0" fontId="21" fillId="0" borderId="16" xfId="0" applyFont="1" applyBorder="1" applyAlignment="1">
      <alignment horizontal="center" vertical="center" wrapText="1"/>
    </xf>
    <xf numFmtId="10" fontId="21" fillId="0" borderId="29" xfId="0" applyNumberFormat="1" applyFont="1" applyBorder="1" applyAlignment="1">
      <alignment horizontal="center" vertical="center" wrapText="1"/>
    </xf>
    <xf numFmtId="0" fontId="19" fillId="10" borderId="1" xfId="0" applyFont="1" applyFill="1" applyBorder="1" applyAlignment="1">
      <alignment horizontal="center" vertical="center"/>
    </xf>
    <xf numFmtId="0" fontId="19" fillId="10" borderId="2" xfId="0" applyFont="1" applyFill="1" applyBorder="1" applyAlignment="1">
      <alignment horizontal="center" vertical="center"/>
    </xf>
    <xf numFmtId="0" fontId="19" fillId="10" borderId="3" xfId="0" applyFont="1" applyFill="1" applyBorder="1" applyAlignment="1">
      <alignment horizontal="center" vertical="center"/>
    </xf>
    <xf numFmtId="0" fontId="19" fillId="3" borderId="1" xfId="0" applyFont="1" applyFill="1" applyBorder="1" applyAlignment="1">
      <alignment horizontal="center" vertical="center" wrapText="1"/>
    </xf>
    <xf numFmtId="0" fontId="19" fillId="3" borderId="2" xfId="0" applyFont="1" applyFill="1" applyBorder="1" applyAlignment="1">
      <alignment horizontal="center" vertical="center" wrapText="1"/>
    </xf>
    <xf numFmtId="0" fontId="19" fillId="3" borderId="3" xfId="0" applyFont="1" applyFill="1" applyBorder="1" applyAlignment="1">
      <alignment horizontal="center" vertical="center" wrapText="1"/>
    </xf>
    <xf numFmtId="0" fontId="18" fillId="0" borderId="14" xfId="0" applyFont="1" applyBorder="1" applyAlignment="1">
      <alignment horizontal="center" vertical="center"/>
    </xf>
    <xf numFmtId="0" fontId="18" fillId="3" borderId="14" xfId="0" applyFont="1" applyFill="1" applyBorder="1" applyAlignment="1">
      <alignment horizontal="center" vertical="center" wrapText="1"/>
    </xf>
    <xf numFmtId="0" fontId="3" fillId="0" borderId="14" xfId="0" applyFont="1" applyBorder="1" applyAlignment="1"/>
    <xf numFmtId="0" fontId="36" fillId="3" borderId="14"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0" borderId="14" xfId="0" applyFont="1" applyBorder="1" applyAlignment="1">
      <alignment horizontal="center" vertical="center"/>
    </xf>
    <xf numFmtId="0" fontId="21" fillId="3" borderId="14" xfId="0" applyFont="1" applyFill="1" applyBorder="1" applyAlignment="1">
      <alignment horizontal="center" vertical="center" wrapText="1"/>
    </xf>
  </cellXfs>
  <cellStyles count="10">
    <cellStyle name="Moeda" xfId="2" builtinId="4"/>
    <cellStyle name="Moeda 2" xfId="6"/>
    <cellStyle name="Normal" xfId="0" builtinId="0"/>
    <cellStyle name="Normal 2" xfId="4"/>
    <cellStyle name="Normal 3" xfId="8"/>
    <cellStyle name="Porcentagem" xfId="9" builtinId="5"/>
    <cellStyle name="Vírgula 2" xfId="3"/>
    <cellStyle name="Vírgula 2 2" xfId="1"/>
    <cellStyle name="Vírgula 2 2 2" xfId="5"/>
    <cellStyle name="Vírgula 2 3" xfId="7"/>
  </cellStyles>
  <dxfs count="3">
    <dxf>
      <font>
        <b/>
        <i val="0"/>
        <condense val="0"/>
        <extend val="0"/>
      </font>
    </dxf>
    <dxf>
      <font>
        <b/>
        <i val="0"/>
        <condense val="0"/>
        <extend val="0"/>
        <color indexed="9"/>
      </font>
      <fill>
        <patternFill patternType="none">
          <fgColor indexed="64"/>
          <bgColor indexed="65"/>
        </patternFill>
      </fill>
      <border>
        <left/>
        <right/>
        <top style="thin">
          <color indexed="64"/>
        </top>
        <bottom/>
      </border>
    </dxf>
    <dxf>
      <font>
        <b/>
        <i val="0"/>
        <condense val="0"/>
        <extend val="0"/>
        <color indexed="9"/>
      </font>
      <fill>
        <patternFill patternType="none">
          <fgColor indexed="64"/>
          <bgColor indexed="65"/>
        </patternFill>
      </fill>
      <border>
        <left/>
        <right/>
        <top style="thin">
          <color indexed="64"/>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504100</xdr:colOff>
      <xdr:row>0</xdr:row>
      <xdr:rowOff>57150</xdr:rowOff>
    </xdr:from>
    <xdr:to>
      <xdr:col>2</xdr:col>
      <xdr:colOff>123825</xdr:colOff>
      <xdr:row>2</xdr:row>
      <xdr:rowOff>161925</xdr:rowOff>
    </xdr:to>
    <xdr:pic>
      <xdr:nvPicPr>
        <xdr:cNvPr id="2" name="image2.jpg" descr=" ">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rcRect/>
        <a:stretch>
          <a:fillRect/>
        </a:stretch>
      </xdr:blipFill>
      <xdr:spPr>
        <a:xfrm>
          <a:off x="1123225" y="57150"/>
          <a:ext cx="581750" cy="523875"/>
        </a:xfrm>
        <a:prstGeom prst="rect">
          <a:avLst/>
        </a:prstGeom>
        <a:noFill/>
        <a:ln>
          <a:noFill/>
        </a:ln>
        <a:effectLst/>
      </xdr:spPr>
    </xdr:pic>
    <xdr:clientData/>
  </xdr:twoCellAnchor>
  <xdr:twoCellAnchor>
    <xdr:from>
      <xdr:col>7</xdr:col>
      <xdr:colOff>415737</xdr:colOff>
      <xdr:row>0</xdr:row>
      <xdr:rowOff>47625</xdr:rowOff>
    </xdr:from>
    <xdr:to>
      <xdr:col>7</xdr:col>
      <xdr:colOff>1038225</xdr:colOff>
      <xdr:row>2</xdr:row>
      <xdr:rowOff>190500</xdr:rowOff>
    </xdr:to>
    <xdr:pic>
      <xdr:nvPicPr>
        <xdr:cNvPr id="3" name="image1.png" descr=" ">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rcRect/>
        <a:stretch>
          <a:fillRect/>
        </a:stretch>
      </xdr:blipFill>
      <xdr:spPr>
        <a:xfrm>
          <a:off x="13150662" y="47625"/>
          <a:ext cx="622488" cy="561975"/>
        </a:xfrm>
        <a:prstGeom prst="rect">
          <a:avLst/>
        </a:prstGeom>
        <a:noFill/>
        <a:ln>
          <a:noFill/>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114762</xdr:colOff>
      <xdr:row>0</xdr:row>
      <xdr:rowOff>66173</xdr:rowOff>
    </xdr:from>
    <xdr:to>
      <xdr:col>8</xdr:col>
      <xdr:colOff>819150</xdr:colOff>
      <xdr:row>2</xdr:row>
      <xdr:rowOff>152400</xdr:rowOff>
    </xdr:to>
    <xdr:pic>
      <xdr:nvPicPr>
        <xdr:cNvPr id="2" name="image1.png" descr=" ">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rcRect/>
        <a:stretch>
          <a:fillRect/>
        </a:stretch>
      </xdr:blipFill>
      <xdr:spPr>
        <a:xfrm>
          <a:off x="9477837" y="66173"/>
          <a:ext cx="704388" cy="505327"/>
        </a:xfrm>
        <a:prstGeom prst="rect">
          <a:avLst/>
        </a:prstGeom>
        <a:noFill/>
        <a:ln>
          <a:noFill/>
        </a:ln>
        <a:effectLst/>
      </xdr:spPr>
    </xdr:pic>
    <xdr:clientData/>
  </xdr:twoCellAnchor>
  <xdr:twoCellAnchor>
    <xdr:from>
      <xdr:col>4</xdr:col>
      <xdr:colOff>607062</xdr:colOff>
      <xdr:row>17</xdr:row>
      <xdr:rowOff>35190</xdr:rowOff>
    </xdr:from>
    <xdr:to>
      <xdr:col>4</xdr:col>
      <xdr:colOff>607062</xdr:colOff>
      <xdr:row>18</xdr:row>
      <xdr:rowOff>0</xdr:rowOff>
    </xdr:to>
    <xdr:pic>
      <xdr:nvPicPr>
        <xdr:cNvPr id="3" name="image3.jpg" descr=" ">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a:srcRect/>
        <a:stretch>
          <a:fillRect/>
        </a:stretch>
      </xdr:blipFill>
      <xdr:spPr>
        <a:xfrm>
          <a:off x="5788662" y="3593730"/>
          <a:ext cx="0" cy="170550"/>
        </a:xfrm>
        <a:prstGeom prst="rect">
          <a:avLst/>
        </a:prstGeom>
        <a:noFill/>
        <a:ln>
          <a:noFill/>
        </a:ln>
        <a:effectLst/>
      </xdr:spPr>
    </xdr:pic>
    <xdr:clientData/>
  </xdr:twoCellAnchor>
  <xdr:twoCellAnchor editAs="oneCell">
    <xdr:from>
      <xdr:col>1</xdr:col>
      <xdr:colOff>76200</xdr:colOff>
      <xdr:row>0</xdr:row>
      <xdr:rowOff>76200</xdr:rowOff>
    </xdr:from>
    <xdr:to>
      <xdr:col>1</xdr:col>
      <xdr:colOff>647700</xdr:colOff>
      <xdr:row>2</xdr:row>
      <xdr:rowOff>171450</xdr:rowOff>
    </xdr:to>
    <xdr:pic>
      <xdr:nvPicPr>
        <xdr:cNvPr id="4" name="Imagem 3">
          <a:extLst>
            <a:ext uri="{FF2B5EF4-FFF2-40B4-BE49-F238E27FC236}">
              <a16:creationId xmlns:a16="http://schemas.microsoft.com/office/drawing/2014/main" id="{00000000-0008-0000-0100-000004000000}"/>
            </a:ext>
          </a:extLst>
        </xdr:cNvPr>
        <xdr:cNvPicPr preferRelativeResize="0">
          <a:picLocks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1057275" y="76200"/>
          <a:ext cx="5715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719910</xdr:colOff>
      <xdr:row>0</xdr:row>
      <xdr:rowOff>85427</xdr:rowOff>
    </xdr:from>
    <xdr:to>
      <xdr:col>1</xdr:col>
      <xdr:colOff>571500</xdr:colOff>
      <xdr:row>2</xdr:row>
      <xdr:rowOff>171450</xdr:rowOff>
    </xdr:to>
    <xdr:pic>
      <xdr:nvPicPr>
        <xdr:cNvPr id="2" name="image3.jpg" descr=" ">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srcRect/>
        <a:stretch>
          <a:fillRect/>
        </a:stretch>
      </xdr:blipFill>
      <xdr:spPr>
        <a:xfrm flipH="1">
          <a:off x="719910" y="85427"/>
          <a:ext cx="613590" cy="505123"/>
        </a:xfrm>
        <a:prstGeom prst="rect">
          <a:avLst/>
        </a:prstGeom>
        <a:noFill/>
        <a:ln>
          <a:noFill/>
        </a:ln>
        <a:effectLst/>
      </xdr:spPr>
    </xdr:pic>
    <xdr:clientData/>
  </xdr:twoCellAnchor>
  <xdr:twoCellAnchor>
    <xdr:from>
      <xdr:col>6</xdr:col>
      <xdr:colOff>971043</xdr:colOff>
      <xdr:row>0</xdr:row>
      <xdr:rowOff>63251</xdr:rowOff>
    </xdr:from>
    <xdr:to>
      <xdr:col>6</xdr:col>
      <xdr:colOff>418602</xdr:colOff>
      <xdr:row>2</xdr:row>
      <xdr:rowOff>259146</xdr:rowOff>
    </xdr:to>
    <xdr:pic>
      <xdr:nvPicPr>
        <xdr:cNvPr id="3" name="image1.png" descr=" ">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2"/>
        <a:srcRect/>
        <a:stretch>
          <a:fillRect/>
        </a:stretch>
      </xdr:blipFill>
      <xdr:spPr>
        <a:xfrm>
          <a:off x="0" y="0"/>
          <a:ext cx="0" cy="0"/>
        </a:xfrm>
        <a:prstGeom prst="rect">
          <a:avLst/>
        </a:prstGeom>
        <a:noFill/>
        <a:ln>
          <a:noFill/>
        </a:ln>
        <a:effectLst/>
      </xdr:spPr>
    </xdr:pic>
    <xdr:clientData/>
  </xdr:twoCellAnchor>
  <xdr:twoCellAnchor editAs="oneCell">
    <xdr:from>
      <xdr:col>6</xdr:col>
      <xdr:colOff>57150</xdr:colOff>
      <xdr:row>0</xdr:row>
      <xdr:rowOff>66675</xdr:rowOff>
    </xdr:from>
    <xdr:to>
      <xdr:col>6</xdr:col>
      <xdr:colOff>600075</xdr:colOff>
      <xdr:row>2</xdr:row>
      <xdr:rowOff>161925</xdr:rowOff>
    </xdr:to>
    <xdr:pic>
      <xdr:nvPicPr>
        <xdr:cNvPr id="4" name="Picture 56">
          <a:extLst>
            <a:ext uri="{FF2B5EF4-FFF2-40B4-BE49-F238E27FC236}">
              <a16:creationId xmlns:a16="http://schemas.microsoft.com/office/drawing/2014/main" id="{00000000-0008-0000-0300-000004000000}"/>
            </a:ext>
          </a:extLst>
        </xdr:cNvPr>
        <xdr:cNvPicPr preferRelativeResize="0">
          <a:picLocks noChangeArrowheads="1"/>
        </xdr:cNvPicPr>
      </xdr:nvPicPr>
      <xdr:blipFill>
        <a:blip xmlns:r="http://schemas.openxmlformats.org/officeDocument/2006/relationships" r:embed="rId3" cstate="email">
          <a:extLst>
            <a:ext uri="{28A0092B-C50C-407E-A947-70E740481C1C}">
              <a14:useLocalDpi xmlns:a14="http://schemas.microsoft.com/office/drawing/2010/main"/>
            </a:ext>
          </a:extLst>
        </a:blip>
        <a:srcRect/>
        <a:stretch>
          <a:fillRect/>
        </a:stretch>
      </xdr:blipFill>
      <xdr:spPr bwMode="auto">
        <a:xfrm>
          <a:off x="9734550" y="66675"/>
          <a:ext cx="5429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1227596</xdr:colOff>
      <xdr:row>0</xdr:row>
      <xdr:rowOff>37951</xdr:rowOff>
    </xdr:from>
    <xdr:to>
      <xdr:col>1</xdr:col>
      <xdr:colOff>352426</xdr:colOff>
      <xdr:row>2</xdr:row>
      <xdr:rowOff>190500</xdr:rowOff>
    </xdr:to>
    <xdr:pic>
      <xdr:nvPicPr>
        <xdr:cNvPr id="2" name="image3.jpg" descr=" ">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srcRect/>
        <a:stretch>
          <a:fillRect/>
        </a:stretch>
      </xdr:blipFill>
      <xdr:spPr>
        <a:xfrm>
          <a:off x="1227596" y="37951"/>
          <a:ext cx="648830" cy="571649"/>
        </a:xfrm>
        <a:prstGeom prst="rect">
          <a:avLst/>
        </a:prstGeom>
        <a:noFill/>
        <a:ln>
          <a:noFill/>
        </a:ln>
        <a:effectLst/>
      </xdr:spPr>
    </xdr:pic>
    <xdr:clientData/>
  </xdr:twoCellAnchor>
  <xdr:twoCellAnchor>
    <xdr:from>
      <xdr:col>6</xdr:col>
      <xdr:colOff>1160407</xdr:colOff>
      <xdr:row>0</xdr:row>
      <xdr:rowOff>37951</xdr:rowOff>
    </xdr:from>
    <xdr:to>
      <xdr:col>7</xdr:col>
      <xdr:colOff>295275</xdr:colOff>
      <xdr:row>2</xdr:row>
      <xdr:rowOff>190500</xdr:rowOff>
    </xdr:to>
    <xdr:pic>
      <xdr:nvPicPr>
        <xdr:cNvPr id="3" name="image1.png" descr=" ">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2"/>
        <a:srcRect/>
        <a:stretch>
          <a:fillRect/>
        </a:stretch>
      </xdr:blipFill>
      <xdr:spPr>
        <a:xfrm>
          <a:off x="11056882" y="37951"/>
          <a:ext cx="649343" cy="571649"/>
        </a:xfrm>
        <a:prstGeom prst="rect">
          <a:avLst/>
        </a:prstGeom>
        <a:noFill/>
        <a:ln>
          <a:noFill/>
        </a:ln>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295274</xdr:colOff>
      <xdr:row>0</xdr:row>
      <xdr:rowOff>85725</xdr:rowOff>
    </xdr:from>
    <xdr:to>
      <xdr:col>8</xdr:col>
      <xdr:colOff>876299</xdr:colOff>
      <xdr:row>2</xdr:row>
      <xdr:rowOff>152400</xdr:rowOff>
    </xdr:to>
    <xdr:pic>
      <xdr:nvPicPr>
        <xdr:cNvPr id="2" name="Picture 56">
          <a:extLst>
            <a:ext uri="{FF2B5EF4-FFF2-40B4-BE49-F238E27FC236}">
              <a16:creationId xmlns:a16="http://schemas.microsoft.com/office/drawing/2014/main" id="{00000000-0008-0000-0500-000002000000}"/>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4474" y="85725"/>
          <a:ext cx="58102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657225</xdr:colOff>
      <xdr:row>0</xdr:row>
      <xdr:rowOff>85725</xdr:rowOff>
    </xdr:from>
    <xdr:to>
      <xdr:col>1</xdr:col>
      <xdr:colOff>419100</xdr:colOff>
      <xdr:row>2</xdr:row>
      <xdr:rowOff>180975</xdr:rowOff>
    </xdr:to>
    <xdr:pic>
      <xdr:nvPicPr>
        <xdr:cNvPr id="3" name="Imagem 4">
          <a:extLst>
            <a:ext uri="{FF2B5EF4-FFF2-40B4-BE49-F238E27FC236}">
              <a16:creationId xmlns:a16="http://schemas.microsoft.com/office/drawing/2014/main" id="{00000000-0008-0000-0500-000003000000}"/>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57225" y="85725"/>
          <a:ext cx="6096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9525</xdr:colOff>
      <xdr:row>30</xdr:row>
      <xdr:rowOff>38100</xdr:rowOff>
    </xdr:from>
    <xdr:ext cx="10782300" cy="352469"/>
    <mc:AlternateContent xmlns:mc="http://schemas.openxmlformats.org/markup-compatibility/2006" xmlns:a14="http://schemas.microsoft.com/office/drawing/2010/main">
      <mc:Choice Requires="a14">
        <xdr:sp macro="" textlink="">
          <xdr:nvSpPr>
            <xdr:cNvPr id="4" name="CaixaDeTexto 3">
              <a:extLst>
                <a:ext uri="{FF2B5EF4-FFF2-40B4-BE49-F238E27FC236}">
                  <a16:creationId xmlns:a16="http://schemas.microsoft.com/office/drawing/2014/main" id="{00000000-0008-0000-0500-000004000000}"/>
                </a:ext>
              </a:extLst>
            </xdr:cNvPr>
            <xdr:cNvSpPr txBox="1"/>
          </xdr:nvSpPr>
          <xdr:spPr>
            <a:xfrm>
              <a:off x="9525" y="66770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4" name="CaixaDeTexto 3"/>
            <xdr:cNvSpPr txBox="1"/>
          </xdr:nvSpPr>
          <xdr:spPr>
            <a:xfrm>
              <a:off x="9525" y="66770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wsDr>
</file>

<file path=xl/drawings/drawing6.xml><?xml version="1.0" encoding="utf-8"?>
<xdr:wsDr xmlns:xdr="http://schemas.openxmlformats.org/drawingml/2006/spreadsheetDrawing" xmlns:a="http://schemas.openxmlformats.org/drawingml/2006/main">
  <xdr:twoCellAnchor>
    <xdr:from>
      <xdr:col>1</xdr:col>
      <xdr:colOff>436212</xdr:colOff>
      <xdr:row>0</xdr:row>
      <xdr:rowOff>118616</xdr:rowOff>
    </xdr:from>
    <xdr:to>
      <xdr:col>1</xdr:col>
      <xdr:colOff>1057275</xdr:colOff>
      <xdr:row>2</xdr:row>
      <xdr:rowOff>152400</xdr:rowOff>
    </xdr:to>
    <xdr:pic>
      <xdr:nvPicPr>
        <xdr:cNvPr id="2" name="image2.jpg" descr=" ">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srcRect/>
        <a:stretch>
          <a:fillRect/>
        </a:stretch>
      </xdr:blipFill>
      <xdr:spPr>
        <a:xfrm>
          <a:off x="1045812" y="118616"/>
          <a:ext cx="621063" cy="452884"/>
        </a:xfrm>
        <a:prstGeom prst="rect">
          <a:avLst/>
        </a:prstGeom>
        <a:noFill/>
        <a:ln>
          <a:noFill/>
        </a:ln>
        <a:effectLst/>
      </xdr:spPr>
    </xdr:pic>
    <xdr:clientData/>
  </xdr:twoCellAnchor>
  <xdr:twoCellAnchor>
    <xdr:from>
      <xdr:col>13</xdr:col>
      <xdr:colOff>600076</xdr:colOff>
      <xdr:row>0</xdr:row>
      <xdr:rowOff>38100</xdr:rowOff>
    </xdr:from>
    <xdr:to>
      <xdr:col>14</xdr:col>
      <xdr:colOff>504825</xdr:colOff>
      <xdr:row>2</xdr:row>
      <xdr:rowOff>171450</xdr:rowOff>
    </xdr:to>
    <xdr:pic>
      <xdr:nvPicPr>
        <xdr:cNvPr id="3" name="image1.png" descr=" ">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2"/>
        <a:srcRect/>
        <a:stretch>
          <a:fillRect/>
        </a:stretch>
      </xdr:blipFill>
      <xdr:spPr>
        <a:xfrm>
          <a:off x="13268326" y="38100"/>
          <a:ext cx="714374" cy="552450"/>
        </a:xfrm>
        <a:prstGeom prst="rect">
          <a:avLst/>
        </a:prstGeom>
        <a:noFill/>
        <a:ln>
          <a:noFill/>
        </a:ln>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ngenheiro\Public\OBRAS\&#8226;%20VIGENTES\INDIRETA\ATA%20-%20PINTURA%20DE%20BENS%20PUBLICOS%202022\02%20-%20PLANILHA%20OR&#199;AMENT&#193;RIA\Planilha%20Or&#231;amentaria\C&#225;lculo%20do%20BDI%20-%20Pintur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Gogle%2520drive\Projetos\Alessandro\UBS-%2520INHA%2520CHICA\Planilhas\202206_Planilha_Precos_SETOP_Leste_SEM_DESONERACAO.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Gogle%20drive\Projetos\Alessandro\Predio%20PM\202210_Planilha_Precos_SETOP_Central_COM_DESONERACAO.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ngenheiro\Public\OBRAS\&#8226;%20VIGENTES\INDIRETA\ATA%20-%20PINTURA%20DE%20BENS%20PUBLICOS%202022\02%20-%20PLANILHA%20OR&#199;AMENT&#193;RIA\Planilha%20Or&#231;amentaria\Planilha%20Or&#231;ament&#225;ria%20-%20Pintura%20de%20Bens%20P&#250;blicos%202022%20-%20REV.02%20L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DADOS"/>
      <sheetName val="NOVO"/>
      <sheetName val="BDI"/>
      <sheetName val="ORÇAMENTO"/>
      <sheetName val="CÁLCULO"/>
      <sheetName val="EVENTOS"/>
      <sheetName val="CRONO"/>
      <sheetName val="CRONOPLE"/>
      <sheetName val="PLE"/>
      <sheetName val="QCI"/>
      <sheetName val="BM"/>
      <sheetName val="RRE"/>
      <sheetName val="OFÍCI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A"/>
      <sheetName val="MUNICÍPIOS"/>
      <sheetName val="INSTRUÇÕES"/>
      <sheetName val="ENCARGOS SOCIAIS EDIFICAÇÕES"/>
      <sheetName val="ENCARGOS SOCIAIS RODOVIÁRIAS"/>
      <sheetName val="BDI-SEM DESONERAÇÃO"/>
      <sheetName val="BDI - PROJETO-CONSULTORIA "/>
      <sheetName val="Relatóri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477">
          <cell r="C1477" t="str">
            <v>CONJUNTO DE DOIS (2) INTERRUPTORES SIMPLES, CORRENTE 10A, TENSÃO 250V, (10A-250V), COM PLACA 4"X2" DE DOIS (2) POSTOS, INCLUSIVE FORNECIMENTO, INSTALAÇÃO, SUPORTE, MÓDULO E PLACA</v>
          </cell>
        </row>
        <row r="1499">
          <cell r="A1499" t="str">
            <v>ED-15770</v>
          </cell>
        </row>
        <row r="1878">
          <cell r="A1878" t="str">
            <v>ED-49243</v>
          </cell>
        </row>
        <row r="1901">
          <cell r="A1901" t="str">
            <v>ED-49228</v>
          </cell>
        </row>
        <row r="1904">
          <cell r="A1904" t="str">
            <v>ED-49231</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A"/>
      <sheetName val="MUNICÍPIOS"/>
      <sheetName val="INSTRUÇÕES"/>
      <sheetName val="ENCARGOS SOCIAIS EDIFICAÇÕES"/>
      <sheetName val="ENCARGOS SOCIAIS RODOVIÁRIAS"/>
      <sheetName val="BDI-COM DESONERAÇÃO"/>
      <sheetName val="BDI - PROJETO-CONSULTORIA "/>
      <sheetName val="Relatóri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406">
          <cell r="A1406" t="str">
            <v>ED-49148</v>
          </cell>
        </row>
        <row r="1407">
          <cell r="A1407" t="str">
            <v>ED-49149</v>
          </cell>
        </row>
        <row r="1493">
          <cell r="A1493" t="str">
            <v>ED-15753</v>
          </cell>
        </row>
        <row r="1528">
          <cell r="A1528" t="str">
            <v>ED-49415</v>
          </cell>
        </row>
        <row r="1611">
          <cell r="A1611" t="str">
            <v>ED-17952</v>
          </cell>
        </row>
        <row r="1695">
          <cell r="A1695" t="str">
            <v>ED-49405</v>
          </cell>
        </row>
        <row r="1749">
          <cell r="A1749" t="str">
            <v>ED-13357</v>
          </cell>
        </row>
        <row r="1854">
          <cell r="A1854" t="str">
            <v>ED-49242</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ORÇAMENTÁRIA"/>
      <sheetName val="MEMÓRIA DE CÁLCULO"/>
      <sheetName val="COMPOSIÇÃO"/>
      <sheetName val="BDI"/>
      <sheetName val="CRONOGRAMA"/>
    </sheetNames>
    <sheetDataSet>
      <sheetData sheetId="0">
        <row r="4">
          <cell r="A4" t="str">
            <v>OBRA POR EXECUÇÃO INDIRETA</v>
          </cell>
        </row>
        <row r="5">
          <cell r="A5" t="str">
            <v>Setor requisitante: Secretaria Municipal de Obras e Serviços Urbanos</v>
          </cell>
        </row>
      </sheetData>
      <sheetData sheetId="1"/>
      <sheetData sheetId="2"/>
      <sheetData sheetId="3"/>
      <sheetData sheetId="4"/>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2273"/>
  <sheetViews>
    <sheetView view="pageBreakPreview" topLeftCell="A175" zoomScaleNormal="100" zoomScaleSheetLayoutView="100" workbookViewId="0">
      <selection activeCell="D14" sqref="D14"/>
    </sheetView>
  </sheetViews>
  <sheetFormatPr defaultColWidth="9" defaultRowHeight="15" customHeight="1" x14ac:dyDescent="0.2"/>
  <cols>
    <col min="1" max="1" width="9.28515625" style="71" customWidth="1"/>
    <col min="2" max="3" width="14.42578125" style="72" customWidth="1"/>
    <col min="4" max="4" width="107.5703125" style="73" customWidth="1"/>
    <col min="5" max="6" width="14.7109375" style="72" customWidth="1"/>
    <col min="7" max="7" width="15.85546875" style="72" bestFit="1" customWidth="1"/>
    <col min="8" max="8" width="16.85546875" style="72" bestFit="1" customWidth="1"/>
    <col min="9" max="9" width="16.7109375" style="72" customWidth="1"/>
    <col min="10" max="10" width="12.7109375" style="32" bestFit="1" customWidth="1"/>
    <col min="11" max="11" width="14" bestFit="1" customWidth="1"/>
    <col min="12" max="12" width="8.7109375" bestFit="1" customWidth="1"/>
    <col min="13" max="13" width="12.7109375" bestFit="1" customWidth="1"/>
    <col min="14" max="24" width="8" customWidth="1"/>
    <col min="25" max="254" width="12" customWidth="1"/>
  </cols>
  <sheetData>
    <row r="1" spans="1:24" ht="16.5" customHeight="1" x14ac:dyDescent="0.2">
      <c r="A1" s="270" t="s">
        <v>502</v>
      </c>
      <c r="B1" s="271"/>
      <c r="C1" s="271"/>
      <c r="D1" s="271"/>
      <c r="E1" s="271"/>
      <c r="F1" s="271"/>
      <c r="G1" s="271"/>
      <c r="H1" s="271"/>
      <c r="I1" s="272"/>
      <c r="J1" s="97"/>
      <c r="K1" s="1"/>
      <c r="L1" s="1"/>
      <c r="M1" s="1"/>
      <c r="N1" s="1"/>
      <c r="O1" s="1"/>
      <c r="P1" s="1"/>
      <c r="Q1" s="1"/>
      <c r="R1" s="1"/>
      <c r="S1" s="1"/>
      <c r="T1" s="1"/>
      <c r="U1" s="1"/>
      <c r="V1" s="1"/>
      <c r="W1" s="1"/>
      <c r="X1" s="1"/>
    </row>
    <row r="2" spans="1:24" ht="16.5" customHeight="1" x14ac:dyDescent="0.2">
      <c r="A2" s="273"/>
      <c r="B2" s="274"/>
      <c r="C2" s="274"/>
      <c r="D2" s="274"/>
      <c r="E2" s="274"/>
      <c r="F2" s="274"/>
      <c r="G2" s="274"/>
      <c r="H2" s="274"/>
      <c r="I2" s="275"/>
      <c r="J2" s="97"/>
      <c r="K2" s="1"/>
      <c r="L2" s="1"/>
      <c r="M2" s="1"/>
      <c r="N2" s="1"/>
      <c r="O2" s="1"/>
      <c r="P2" s="1"/>
      <c r="Q2" s="1"/>
      <c r="R2" s="1"/>
      <c r="S2" s="1"/>
      <c r="T2" s="1"/>
      <c r="U2" s="1"/>
      <c r="V2" s="1"/>
      <c r="W2" s="1"/>
      <c r="X2" s="1"/>
    </row>
    <row r="3" spans="1:24" ht="16.5" customHeight="1" x14ac:dyDescent="0.2">
      <c r="A3" s="276"/>
      <c r="B3" s="277"/>
      <c r="C3" s="277"/>
      <c r="D3" s="277"/>
      <c r="E3" s="277"/>
      <c r="F3" s="277"/>
      <c r="G3" s="277"/>
      <c r="H3" s="277"/>
      <c r="I3" s="278"/>
      <c r="J3" s="97"/>
      <c r="K3" s="1"/>
      <c r="L3" s="1"/>
      <c r="M3" s="1"/>
      <c r="N3" s="1"/>
      <c r="O3" s="1"/>
      <c r="P3" s="1"/>
      <c r="Q3" s="1"/>
      <c r="R3" s="1"/>
      <c r="S3" s="1"/>
      <c r="T3" s="1"/>
      <c r="U3" s="1"/>
      <c r="V3" s="1"/>
      <c r="W3" s="1"/>
      <c r="X3" s="1"/>
    </row>
    <row r="4" spans="1:24" ht="18.75" customHeight="1" x14ac:dyDescent="0.2">
      <c r="A4" s="311" t="s">
        <v>0</v>
      </c>
      <c r="B4" s="312"/>
      <c r="C4" s="312"/>
      <c r="D4" s="312"/>
      <c r="E4" s="312"/>
      <c r="F4" s="312"/>
      <c r="G4" s="312"/>
      <c r="H4" s="312"/>
      <c r="I4" s="312"/>
      <c r="J4" s="97"/>
      <c r="K4" s="1"/>
      <c r="L4" s="1"/>
      <c r="M4" s="1"/>
      <c r="N4" s="1"/>
      <c r="O4" s="1"/>
      <c r="P4" s="1"/>
      <c r="Q4" s="1"/>
      <c r="R4" s="1"/>
      <c r="S4" s="1"/>
      <c r="T4" s="1"/>
      <c r="U4" s="1"/>
      <c r="V4" s="1"/>
      <c r="W4" s="1"/>
      <c r="X4" s="1"/>
    </row>
    <row r="5" spans="1:24" ht="23.25" customHeight="1" x14ac:dyDescent="0.2">
      <c r="A5" s="295" t="s">
        <v>162</v>
      </c>
      <c r="B5" s="268"/>
      <c r="C5" s="268"/>
      <c r="D5" s="268"/>
      <c r="E5" s="268"/>
      <c r="F5" s="268"/>
      <c r="G5" s="268"/>
      <c r="H5" s="268"/>
      <c r="I5" s="268"/>
      <c r="J5" s="97"/>
      <c r="K5" s="1"/>
      <c r="L5" s="1"/>
      <c r="M5" s="1"/>
      <c r="N5" s="1"/>
      <c r="O5" s="1"/>
      <c r="P5" s="1"/>
      <c r="Q5" s="1"/>
      <c r="R5" s="1"/>
      <c r="S5" s="1"/>
      <c r="T5" s="1"/>
      <c r="U5" s="1"/>
      <c r="V5" s="1"/>
      <c r="W5" s="1"/>
      <c r="X5" s="1"/>
    </row>
    <row r="6" spans="1:24" ht="16.5" customHeight="1" x14ac:dyDescent="0.2">
      <c r="A6" s="279" t="s">
        <v>2</v>
      </c>
      <c r="B6" s="280"/>
      <c r="C6" s="283" t="s">
        <v>878</v>
      </c>
      <c r="D6" s="284"/>
      <c r="E6" s="284"/>
      <c r="F6" s="285"/>
      <c r="G6" s="289" t="s">
        <v>3</v>
      </c>
      <c r="H6" s="291">
        <f>BDI!J27</f>
        <v>0.28082487245334908</v>
      </c>
      <c r="I6" s="293">
        <f ca="1">TODAY()</f>
        <v>45075</v>
      </c>
      <c r="J6" s="97"/>
      <c r="K6" s="1"/>
      <c r="L6" s="1"/>
      <c r="M6" s="1"/>
      <c r="N6" s="1"/>
      <c r="O6" s="1"/>
      <c r="P6" s="1"/>
      <c r="Q6" s="1"/>
      <c r="R6" s="1"/>
      <c r="S6" s="1"/>
      <c r="T6" s="1"/>
      <c r="U6" s="1"/>
      <c r="V6" s="1"/>
      <c r="W6" s="1"/>
      <c r="X6" s="1"/>
    </row>
    <row r="7" spans="1:24" ht="16.5" customHeight="1" x14ac:dyDescent="0.2">
      <c r="A7" s="281"/>
      <c r="B7" s="282"/>
      <c r="C7" s="286"/>
      <c r="D7" s="287"/>
      <c r="E7" s="287"/>
      <c r="F7" s="288"/>
      <c r="G7" s="290"/>
      <c r="H7" s="292"/>
      <c r="I7" s="294"/>
      <c r="J7" s="97"/>
      <c r="K7" s="1"/>
      <c r="L7" s="1"/>
      <c r="M7" s="1"/>
      <c r="N7" s="1"/>
      <c r="O7" s="1"/>
      <c r="P7" s="1"/>
      <c r="Q7" s="1"/>
      <c r="R7" s="1"/>
      <c r="S7" s="1"/>
      <c r="T7" s="1"/>
      <c r="U7" s="1"/>
      <c r="V7" s="1"/>
      <c r="W7" s="1"/>
      <c r="X7" s="1"/>
    </row>
    <row r="8" spans="1:24" ht="18.75" customHeight="1" x14ac:dyDescent="0.2">
      <c r="A8" s="267" t="s">
        <v>4</v>
      </c>
      <c r="B8" s="268"/>
      <c r="C8" s="268"/>
      <c r="D8" s="268"/>
      <c r="E8" s="268"/>
      <c r="F8" s="268"/>
      <c r="G8" s="268"/>
      <c r="H8" s="268"/>
      <c r="I8" s="268"/>
      <c r="J8" s="97"/>
      <c r="K8" s="1"/>
      <c r="L8" s="1"/>
      <c r="M8" s="1"/>
      <c r="N8" s="1"/>
      <c r="O8" s="1"/>
      <c r="P8" s="1"/>
      <c r="Q8" s="1"/>
      <c r="R8" s="1"/>
      <c r="S8" s="1"/>
      <c r="T8" s="1"/>
      <c r="U8" s="1"/>
      <c r="V8" s="1"/>
      <c r="W8" s="1"/>
      <c r="X8" s="1"/>
    </row>
    <row r="9" spans="1:24" ht="25.5" customHeight="1" x14ac:dyDescent="0.2">
      <c r="A9" s="124" t="s">
        <v>5</v>
      </c>
      <c r="B9" s="125" t="s">
        <v>6</v>
      </c>
      <c r="C9" s="123" t="s">
        <v>7</v>
      </c>
      <c r="D9" s="125" t="s">
        <v>8</v>
      </c>
      <c r="E9" s="124" t="s">
        <v>9</v>
      </c>
      <c r="F9" s="124" t="s">
        <v>10</v>
      </c>
      <c r="G9" s="125" t="s">
        <v>11</v>
      </c>
      <c r="H9" s="125" t="s">
        <v>12</v>
      </c>
      <c r="I9" s="124" t="s">
        <v>13</v>
      </c>
      <c r="J9" s="98"/>
      <c r="K9" s="1"/>
      <c r="L9" s="1"/>
      <c r="M9" s="1"/>
      <c r="N9" s="1"/>
      <c r="O9" s="1"/>
      <c r="P9" s="1"/>
      <c r="Q9" s="1"/>
      <c r="R9" s="1"/>
      <c r="S9" s="1"/>
      <c r="T9" s="1"/>
      <c r="U9" s="1"/>
      <c r="V9" s="1"/>
      <c r="W9" s="1"/>
      <c r="X9" s="1"/>
    </row>
    <row r="10" spans="1:24" ht="16.5" customHeight="1" x14ac:dyDescent="0.2">
      <c r="A10" s="57">
        <v>1</v>
      </c>
      <c r="B10" s="58"/>
      <c r="C10" s="58"/>
      <c r="D10" s="241" t="s">
        <v>14</v>
      </c>
      <c r="E10" s="59"/>
      <c r="F10" s="59"/>
      <c r="G10" s="59"/>
      <c r="H10" s="59"/>
      <c r="I10" s="59"/>
      <c r="J10" s="97"/>
      <c r="K10" s="1"/>
      <c r="L10" s="1"/>
      <c r="M10" s="1"/>
      <c r="N10" s="1"/>
      <c r="O10" s="1"/>
      <c r="P10" s="1"/>
      <c r="Q10" s="1"/>
      <c r="R10" s="1"/>
      <c r="S10" s="1"/>
      <c r="T10" s="1"/>
      <c r="U10" s="1"/>
      <c r="V10" s="1"/>
      <c r="W10" s="1"/>
      <c r="X10" s="1"/>
    </row>
    <row r="11" spans="1:24" ht="25.5" customHeight="1" x14ac:dyDescent="0.2">
      <c r="A11" s="81" t="s">
        <v>15</v>
      </c>
      <c r="B11" s="127" t="s">
        <v>427</v>
      </c>
      <c r="C11" s="128" t="s">
        <v>848</v>
      </c>
      <c r="D11" s="151" t="s">
        <v>634</v>
      </c>
      <c r="E11" s="68">
        <f>'Memória de Cálculo'!J18</f>
        <v>1</v>
      </c>
      <c r="F11" s="122" t="s">
        <v>247</v>
      </c>
      <c r="G11" s="52">
        <f>'Memória de Cálculo'!H14</f>
        <v>17090.924298205246</v>
      </c>
      <c r="H11" s="53">
        <f>G11*(1+$H$6)</f>
        <v>21890.480934358577</v>
      </c>
      <c r="I11" s="53">
        <f>H11*E11</f>
        <v>21890.480934358577</v>
      </c>
      <c r="J11" s="99"/>
      <c r="K11" s="238">
        <f>I11/$I$186</f>
        <v>1.663291844086484E-3</v>
      </c>
      <c r="L11" s="1"/>
      <c r="M11" s="1"/>
      <c r="N11" s="1"/>
      <c r="O11" s="1"/>
      <c r="P11" s="1"/>
      <c r="Q11" s="1"/>
      <c r="R11" s="1"/>
      <c r="S11" s="1"/>
      <c r="T11" s="1"/>
      <c r="U11" s="1"/>
      <c r="V11" s="1"/>
      <c r="W11" s="1"/>
      <c r="X11" s="1"/>
    </row>
    <row r="12" spans="1:24" ht="16.5" customHeight="1" x14ac:dyDescent="0.2">
      <c r="A12" s="269" t="s">
        <v>16</v>
      </c>
      <c r="B12" s="266"/>
      <c r="C12" s="266"/>
      <c r="D12" s="266"/>
      <c r="E12" s="266"/>
      <c r="F12" s="266"/>
      <c r="G12" s="266"/>
      <c r="H12" s="266"/>
      <c r="I12" s="67">
        <f>SUM(I11)</f>
        <v>21890.480934358577</v>
      </c>
      <c r="J12" s="97"/>
      <c r="K12" s="1"/>
      <c r="L12" s="1"/>
      <c r="M12" s="1"/>
      <c r="N12" s="1"/>
      <c r="O12" s="1"/>
      <c r="P12" s="1"/>
      <c r="Q12" s="1"/>
      <c r="R12" s="1"/>
      <c r="S12" s="1"/>
      <c r="T12" s="1"/>
      <c r="U12" s="1"/>
      <c r="V12" s="1"/>
      <c r="W12" s="1"/>
      <c r="X12" s="1"/>
    </row>
    <row r="13" spans="1:24" ht="16.5" customHeight="1" x14ac:dyDescent="0.2">
      <c r="A13" s="57">
        <v>2</v>
      </c>
      <c r="B13" s="57"/>
      <c r="C13" s="58"/>
      <c r="D13" s="313" t="s">
        <v>19</v>
      </c>
      <c r="E13" s="266"/>
      <c r="F13" s="266"/>
      <c r="G13" s="266"/>
      <c r="H13" s="266"/>
      <c r="I13" s="266"/>
      <c r="J13" s="97"/>
      <c r="K13" s="1"/>
      <c r="L13" s="1"/>
      <c r="M13" s="1"/>
      <c r="N13" s="1"/>
      <c r="O13" s="1"/>
      <c r="P13" s="1"/>
      <c r="Q13" s="1"/>
      <c r="R13" s="1"/>
      <c r="S13" s="1"/>
      <c r="T13" s="1"/>
      <c r="U13" s="1"/>
      <c r="V13" s="1"/>
      <c r="W13" s="1"/>
      <c r="X13" s="1"/>
    </row>
    <row r="14" spans="1:24" ht="25.5" customHeight="1" x14ac:dyDescent="0.2">
      <c r="A14" s="82" t="s">
        <v>17</v>
      </c>
      <c r="B14" s="127" t="s">
        <v>232</v>
      </c>
      <c r="C14" s="128" t="s">
        <v>848</v>
      </c>
      <c r="D14" s="131" t="s">
        <v>504</v>
      </c>
      <c r="E14" s="130">
        <f>'Memória de Cálculo'!J23</f>
        <v>10</v>
      </c>
      <c r="F14" s="80" t="s">
        <v>22</v>
      </c>
      <c r="G14" s="83">
        <v>17118.650000000001</v>
      </c>
      <c r="H14" s="53">
        <f>G14*(1+$H$6)</f>
        <v>21925.992702823525</v>
      </c>
      <c r="I14" s="53">
        <f>H14*E14</f>
        <v>219259.92702823525</v>
      </c>
      <c r="J14" s="97"/>
      <c r="K14" s="238">
        <f>I14/$I$186</f>
        <v>1.6659901144001402E-2</v>
      </c>
      <c r="L14" s="1"/>
      <c r="M14" s="1"/>
      <c r="N14" s="1"/>
      <c r="O14" s="1"/>
      <c r="P14" s="1"/>
      <c r="Q14" s="1"/>
      <c r="R14" s="1"/>
      <c r="S14" s="1"/>
      <c r="T14" s="1"/>
      <c r="U14" s="1"/>
      <c r="V14" s="1"/>
      <c r="W14" s="1"/>
      <c r="X14" s="1"/>
    </row>
    <row r="15" spans="1:24" ht="25.5" customHeight="1" x14ac:dyDescent="0.2">
      <c r="A15" s="82" t="s">
        <v>18</v>
      </c>
      <c r="B15" s="127" t="s">
        <v>21</v>
      </c>
      <c r="C15" s="128" t="s">
        <v>848</v>
      </c>
      <c r="D15" s="132" t="s">
        <v>505</v>
      </c>
      <c r="E15" s="130">
        <f>'Memória de Cálculo'!J27</f>
        <v>10</v>
      </c>
      <c r="F15" s="80" t="s">
        <v>22</v>
      </c>
      <c r="G15" s="83">
        <v>7684.11</v>
      </c>
      <c r="H15" s="53">
        <f>G15*(1+$H$6)</f>
        <v>9841.9992106675036</v>
      </c>
      <c r="I15" s="53">
        <f>H15*E15</f>
        <v>98419.992106675039</v>
      </c>
      <c r="J15" s="97"/>
      <c r="K15" s="238">
        <f>I15/$I$186</f>
        <v>7.4781897509226839E-3</v>
      </c>
      <c r="L15" s="1"/>
      <c r="M15" s="1"/>
      <c r="N15" s="1"/>
      <c r="O15" s="1"/>
      <c r="P15" s="1"/>
      <c r="Q15" s="1"/>
      <c r="R15" s="1"/>
      <c r="S15" s="1"/>
      <c r="T15" s="1"/>
      <c r="U15" s="1"/>
      <c r="V15" s="1"/>
      <c r="W15" s="1"/>
      <c r="X15" s="1"/>
    </row>
    <row r="16" spans="1:24" ht="16.5" customHeight="1" x14ac:dyDescent="0.2">
      <c r="A16" s="269" t="s">
        <v>16</v>
      </c>
      <c r="B16" s="266"/>
      <c r="C16" s="266"/>
      <c r="D16" s="299"/>
      <c r="E16" s="266"/>
      <c r="F16" s="266"/>
      <c r="G16" s="266"/>
      <c r="H16" s="266"/>
      <c r="I16" s="67">
        <f>SUM(I14:I15)</f>
        <v>317679.91913491028</v>
      </c>
      <c r="J16" s="97"/>
      <c r="K16" s="1"/>
      <c r="L16" s="1"/>
      <c r="M16" s="1"/>
      <c r="N16" s="1"/>
      <c r="O16" s="1"/>
      <c r="P16" s="1"/>
      <c r="Q16" s="1"/>
      <c r="R16" s="1"/>
      <c r="S16" s="1"/>
      <c r="T16" s="1"/>
      <c r="U16" s="1"/>
      <c r="V16" s="1"/>
      <c r="W16" s="1"/>
      <c r="X16" s="1"/>
    </row>
    <row r="17" spans="1:24" ht="16.5" customHeight="1" x14ac:dyDescent="0.2">
      <c r="A17" s="57">
        <v>3</v>
      </c>
      <c r="B17" s="58"/>
      <c r="C17" s="58"/>
      <c r="D17" s="242" t="s">
        <v>236</v>
      </c>
      <c r="E17" s="59"/>
      <c r="F17" s="136"/>
      <c r="G17" s="59"/>
      <c r="H17" s="59"/>
      <c r="I17" s="59"/>
      <c r="J17" s="97"/>
      <c r="K17" s="1"/>
      <c r="L17" s="1"/>
      <c r="M17" s="1"/>
      <c r="N17" s="1"/>
      <c r="O17" s="1"/>
      <c r="P17" s="1"/>
      <c r="Q17" s="1"/>
      <c r="R17" s="1"/>
      <c r="S17" s="1"/>
      <c r="T17" s="1"/>
      <c r="U17" s="1"/>
      <c r="V17" s="1"/>
      <c r="W17" s="1"/>
      <c r="X17" s="1"/>
    </row>
    <row r="18" spans="1:24" ht="38.25" x14ac:dyDescent="0.2">
      <c r="A18" s="81" t="s">
        <v>129</v>
      </c>
      <c r="B18" s="127" t="s">
        <v>230</v>
      </c>
      <c r="C18" s="128" t="s">
        <v>848</v>
      </c>
      <c r="D18" s="131" t="s">
        <v>506</v>
      </c>
      <c r="E18" s="133">
        <f>'Memória de Cálculo'!J32</f>
        <v>4.5</v>
      </c>
      <c r="F18" s="137" t="s">
        <v>173</v>
      </c>
      <c r="G18" s="134">
        <v>308.95999999999998</v>
      </c>
      <c r="H18" s="53">
        <f>G18*(1+$H$6)</f>
        <v>395.72365259318673</v>
      </c>
      <c r="I18" s="52">
        <f>E18*H18</f>
        <v>1780.7564366693402</v>
      </c>
      <c r="J18" s="97"/>
      <c r="K18" s="238">
        <f>I18/$I$186</f>
        <v>1.3530619387935397E-4</v>
      </c>
      <c r="L18" s="1"/>
      <c r="M18" s="1"/>
      <c r="N18" s="1"/>
      <c r="O18" s="1"/>
      <c r="P18" s="1"/>
      <c r="Q18" s="1"/>
      <c r="R18" s="1"/>
      <c r="S18" s="1"/>
      <c r="T18" s="1"/>
      <c r="U18" s="1"/>
      <c r="V18" s="1"/>
      <c r="W18" s="1"/>
      <c r="X18" s="1"/>
    </row>
    <row r="19" spans="1:24" ht="25.5" customHeight="1" x14ac:dyDescent="0.2">
      <c r="A19" s="81" t="s">
        <v>136</v>
      </c>
      <c r="B19" s="127" t="s">
        <v>233</v>
      </c>
      <c r="C19" s="128" t="s">
        <v>848</v>
      </c>
      <c r="D19" s="131" t="s">
        <v>507</v>
      </c>
      <c r="E19" s="133">
        <f>'Memória de Cálculo'!J36</f>
        <v>50</v>
      </c>
      <c r="F19" s="137" t="s">
        <v>512</v>
      </c>
      <c r="G19" s="134">
        <v>551.51</v>
      </c>
      <c r="H19" s="53">
        <f>G19*(1+$H$6)</f>
        <v>706.38772540674654</v>
      </c>
      <c r="I19" s="52">
        <f>E19*H19</f>
        <v>35319.386270337331</v>
      </c>
      <c r="J19" s="97"/>
      <c r="K19" s="238">
        <f>I19/$I$186</f>
        <v>2.6836526478221743E-3</v>
      </c>
      <c r="L19" s="1"/>
      <c r="M19" s="1"/>
      <c r="N19" s="1"/>
      <c r="O19" s="1"/>
      <c r="P19" s="1"/>
      <c r="Q19" s="1"/>
      <c r="R19" s="1"/>
      <c r="S19" s="1"/>
      <c r="T19" s="1"/>
      <c r="U19" s="1"/>
      <c r="V19" s="1"/>
      <c r="W19" s="1"/>
      <c r="X19" s="1"/>
    </row>
    <row r="20" spans="1:24" ht="25.5" customHeight="1" x14ac:dyDescent="0.2">
      <c r="A20" s="81" t="s">
        <v>267</v>
      </c>
      <c r="B20" s="127" t="s">
        <v>234</v>
      </c>
      <c r="C20" s="128" t="s">
        <v>848</v>
      </c>
      <c r="D20" s="131" t="s">
        <v>508</v>
      </c>
      <c r="E20" s="133">
        <f>'Memória de Cálculo'!J40</f>
        <v>1</v>
      </c>
      <c r="F20" s="137" t="s">
        <v>513</v>
      </c>
      <c r="G20" s="134">
        <v>1151.74</v>
      </c>
      <c r="H20" s="53">
        <f>G20*(1+$H$6)</f>
        <v>1475.1772385994202</v>
      </c>
      <c r="I20" s="52">
        <f>E20*H20</f>
        <v>1475.1772385994202</v>
      </c>
      <c r="J20" s="97"/>
      <c r="K20" s="238">
        <f>I20/$I$186</f>
        <v>1.1208754512530003E-4</v>
      </c>
      <c r="L20" s="1"/>
      <c r="M20" s="1"/>
      <c r="N20" s="1"/>
      <c r="O20" s="1"/>
      <c r="P20" s="1"/>
      <c r="Q20" s="1"/>
      <c r="R20" s="1"/>
      <c r="S20" s="1"/>
      <c r="T20" s="1"/>
      <c r="U20" s="1"/>
      <c r="V20" s="1"/>
      <c r="W20" s="1"/>
      <c r="X20" s="1"/>
    </row>
    <row r="21" spans="1:24" ht="25.5" customHeight="1" x14ac:dyDescent="0.2">
      <c r="A21" s="81" t="s">
        <v>268</v>
      </c>
      <c r="B21" s="127" t="s">
        <v>235</v>
      </c>
      <c r="C21" s="128" t="s">
        <v>848</v>
      </c>
      <c r="D21" s="131" t="s">
        <v>509</v>
      </c>
      <c r="E21" s="133">
        <f>'Memória de Cálculo'!J44</f>
        <v>1</v>
      </c>
      <c r="F21" s="137" t="s">
        <v>513</v>
      </c>
      <c r="G21" s="134">
        <v>371.31</v>
      </c>
      <c r="H21" s="53">
        <f>G21*(1+$H$6)</f>
        <v>475.58308339065303</v>
      </c>
      <c r="I21" s="52">
        <f>E21*H21</f>
        <v>475.58308339065303</v>
      </c>
      <c r="J21" s="97"/>
      <c r="K21" s="238">
        <f>I21/$I$186</f>
        <v>3.61359563620914E-5</v>
      </c>
      <c r="L21" s="1"/>
      <c r="M21" s="1"/>
      <c r="N21" s="1"/>
      <c r="O21" s="1"/>
      <c r="P21" s="1"/>
      <c r="Q21" s="1"/>
      <c r="R21" s="1"/>
      <c r="S21" s="1"/>
      <c r="T21" s="1"/>
      <c r="U21" s="1"/>
      <c r="V21" s="1"/>
      <c r="W21" s="1"/>
      <c r="X21" s="1"/>
    </row>
    <row r="22" spans="1:24" ht="27" customHeight="1" x14ac:dyDescent="0.2">
      <c r="A22" s="81" t="s">
        <v>269</v>
      </c>
      <c r="B22" s="127" t="s">
        <v>231</v>
      </c>
      <c r="C22" s="128" t="s">
        <v>848</v>
      </c>
      <c r="D22" s="131" t="s">
        <v>510</v>
      </c>
      <c r="E22" s="133">
        <v>500</v>
      </c>
      <c r="F22" s="137" t="s">
        <v>511</v>
      </c>
      <c r="G22" s="135">
        <v>1.47</v>
      </c>
      <c r="H22" s="53">
        <f>G22*(1+$H$6)</f>
        <v>1.8828125625064231</v>
      </c>
      <c r="I22" s="52">
        <f>E22*H22</f>
        <v>941.40628125321155</v>
      </c>
      <c r="J22" s="97"/>
      <c r="K22" s="238">
        <f>I22/$I$186</f>
        <v>7.1530332945886682E-5</v>
      </c>
      <c r="L22" s="1"/>
      <c r="M22" s="1"/>
      <c r="N22" s="1"/>
      <c r="O22" s="1"/>
      <c r="P22" s="1"/>
      <c r="Q22" s="1"/>
      <c r="R22" s="1"/>
      <c r="S22" s="1"/>
      <c r="T22" s="1"/>
      <c r="U22" s="1"/>
      <c r="V22" s="1"/>
      <c r="W22" s="1"/>
      <c r="X22" s="1"/>
    </row>
    <row r="23" spans="1:24" ht="16.5" customHeight="1" x14ac:dyDescent="0.2">
      <c r="A23" s="269" t="s">
        <v>16</v>
      </c>
      <c r="B23" s="266"/>
      <c r="C23" s="266"/>
      <c r="D23" s="299"/>
      <c r="E23" s="266"/>
      <c r="F23" s="299"/>
      <c r="G23" s="266"/>
      <c r="H23" s="266"/>
      <c r="I23" s="67">
        <f>SUM(I18:I22)</f>
        <v>39992.309310249955</v>
      </c>
      <c r="J23" s="97"/>
      <c r="K23" s="1"/>
      <c r="L23" s="1"/>
      <c r="M23" s="1"/>
      <c r="N23" s="1"/>
      <c r="O23" s="1"/>
      <c r="P23" s="1"/>
      <c r="Q23" s="1"/>
      <c r="R23" s="1"/>
      <c r="S23" s="1"/>
      <c r="T23" s="1"/>
      <c r="U23" s="1"/>
      <c r="V23" s="1"/>
      <c r="W23" s="1"/>
      <c r="X23" s="1"/>
    </row>
    <row r="24" spans="1:24" ht="16.5" customHeight="1" x14ac:dyDescent="0.2">
      <c r="A24" s="57">
        <v>4</v>
      </c>
      <c r="B24" s="57"/>
      <c r="C24" s="58"/>
      <c r="D24" s="265" t="s">
        <v>237</v>
      </c>
      <c r="E24" s="266"/>
      <c r="F24" s="266"/>
      <c r="G24" s="266"/>
      <c r="H24" s="266"/>
      <c r="I24" s="266"/>
      <c r="J24" s="97"/>
      <c r="K24" s="1"/>
      <c r="L24" s="1"/>
      <c r="M24" s="1"/>
      <c r="N24" s="1"/>
      <c r="O24" s="1"/>
      <c r="P24" s="1"/>
      <c r="Q24" s="1"/>
      <c r="R24" s="1"/>
      <c r="S24" s="1"/>
      <c r="T24" s="1"/>
      <c r="U24" s="1"/>
      <c r="V24" s="1"/>
      <c r="W24" s="1"/>
      <c r="X24" s="1"/>
    </row>
    <row r="25" spans="1:24" ht="25.5" customHeight="1" x14ac:dyDescent="0.2">
      <c r="A25" s="82" t="s">
        <v>23</v>
      </c>
      <c r="B25" s="127" t="s">
        <v>238</v>
      </c>
      <c r="C25" s="128" t="s">
        <v>848</v>
      </c>
      <c r="D25" s="54" t="s">
        <v>514</v>
      </c>
      <c r="E25" s="51">
        <f>'Memória de Cálculo'!J59</f>
        <v>510.58</v>
      </c>
      <c r="F25" s="50" t="s">
        <v>25</v>
      </c>
      <c r="G25" s="83">
        <v>48.91</v>
      </c>
      <c r="H25" s="53">
        <f>G25*(1+$H$6)</f>
        <v>62.645144511693296</v>
      </c>
      <c r="I25" s="53">
        <f>E25*H25</f>
        <v>31985.357884780362</v>
      </c>
      <c r="J25" s="97"/>
      <c r="K25" s="238">
        <f>I25/$I$186</f>
        <v>2.4303250832849442E-3</v>
      </c>
      <c r="L25" s="1"/>
      <c r="M25" s="1"/>
      <c r="N25" s="1"/>
      <c r="O25" s="1"/>
      <c r="P25" s="1"/>
      <c r="Q25" s="1"/>
      <c r="R25" s="1"/>
      <c r="S25" s="1"/>
      <c r="T25" s="1"/>
      <c r="U25" s="1"/>
      <c r="V25" s="1"/>
      <c r="W25" s="1"/>
      <c r="X25" s="1"/>
    </row>
    <row r="26" spans="1:24" ht="16.5" customHeight="1" x14ac:dyDescent="0.2">
      <c r="A26" s="269" t="s">
        <v>16</v>
      </c>
      <c r="B26" s="266"/>
      <c r="C26" s="266"/>
      <c r="D26" s="266"/>
      <c r="E26" s="266"/>
      <c r="F26" s="266"/>
      <c r="G26" s="266"/>
      <c r="H26" s="266"/>
      <c r="I26" s="67">
        <f>SUM(I25:I25)</f>
        <v>31985.357884780362</v>
      </c>
      <c r="J26" s="97"/>
      <c r="K26" s="1"/>
      <c r="L26" s="1"/>
      <c r="M26" s="1"/>
      <c r="N26" s="1"/>
      <c r="O26" s="1"/>
      <c r="P26" s="1"/>
      <c r="Q26" s="1"/>
      <c r="R26" s="1"/>
      <c r="S26" s="1"/>
      <c r="T26" s="1"/>
      <c r="U26" s="1"/>
      <c r="V26" s="1"/>
      <c r="W26" s="1"/>
      <c r="X26" s="1"/>
    </row>
    <row r="27" spans="1:24" ht="16.5" customHeight="1" x14ac:dyDescent="0.2">
      <c r="A27" s="57">
        <v>5</v>
      </c>
      <c r="B27" s="58"/>
      <c r="C27" s="58"/>
      <c r="D27" s="241" t="s">
        <v>239</v>
      </c>
      <c r="E27" s="59"/>
      <c r="F27" s="59"/>
      <c r="G27" s="59"/>
      <c r="H27" s="59"/>
      <c r="I27" s="59"/>
      <c r="J27" s="97"/>
      <c r="K27" s="1"/>
      <c r="L27" s="1"/>
      <c r="M27" s="1"/>
      <c r="N27" s="1"/>
      <c r="O27" s="1"/>
      <c r="P27" s="1"/>
      <c r="Q27" s="1"/>
      <c r="R27" s="1"/>
      <c r="S27" s="1"/>
      <c r="T27" s="1"/>
      <c r="U27" s="1"/>
      <c r="V27" s="1"/>
      <c r="W27" s="1"/>
      <c r="X27" s="1"/>
    </row>
    <row r="28" spans="1:24" ht="25.5" customHeight="1" x14ac:dyDescent="0.2">
      <c r="A28" s="50" t="s">
        <v>24</v>
      </c>
      <c r="B28" s="127" t="s">
        <v>240</v>
      </c>
      <c r="C28" s="128" t="s">
        <v>848</v>
      </c>
      <c r="D28" s="54" t="s">
        <v>515</v>
      </c>
      <c r="E28" s="51">
        <f>'Memória de Cálculo'!J65</f>
        <v>127.036</v>
      </c>
      <c r="F28" s="122" t="s">
        <v>176</v>
      </c>
      <c r="G28" s="52">
        <v>60.61</v>
      </c>
      <c r="H28" s="53">
        <f>G28*(1+$H$6)</f>
        <v>77.630795519397481</v>
      </c>
      <c r="I28" s="52">
        <f>E28*H28</f>
        <v>9861.9057396021781</v>
      </c>
      <c r="J28" s="97"/>
      <c r="K28" s="238">
        <f>I28/$I$186</f>
        <v>7.4933152145067875E-4</v>
      </c>
      <c r="L28" s="1"/>
      <c r="M28" s="1"/>
      <c r="N28" s="1"/>
      <c r="O28" s="1"/>
      <c r="P28" s="1"/>
      <c r="Q28" s="1"/>
      <c r="R28" s="1"/>
      <c r="S28" s="1"/>
      <c r="T28" s="1"/>
      <c r="U28" s="1"/>
      <c r="V28" s="1"/>
      <c r="W28" s="1"/>
      <c r="X28" s="1"/>
    </row>
    <row r="29" spans="1:24" ht="16.5" customHeight="1" x14ac:dyDescent="0.2">
      <c r="A29" s="269" t="s">
        <v>16</v>
      </c>
      <c r="B29" s="266"/>
      <c r="C29" s="266"/>
      <c r="D29" s="266"/>
      <c r="E29" s="266"/>
      <c r="F29" s="266"/>
      <c r="G29" s="266"/>
      <c r="H29" s="266"/>
      <c r="I29" s="67">
        <f>SUM(I28:I28)</f>
        <v>9861.9057396021781</v>
      </c>
      <c r="J29" s="97"/>
      <c r="K29" s="1"/>
      <c r="L29" s="1"/>
      <c r="M29" s="1"/>
      <c r="N29" s="1"/>
      <c r="O29" s="1"/>
      <c r="P29" s="1"/>
      <c r="Q29" s="1"/>
      <c r="R29" s="1"/>
      <c r="S29" s="1"/>
      <c r="T29" s="1"/>
      <c r="U29" s="1"/>
      <c r="V29" s="1"/>
      <c r="W29" s="1"/>
      <c r="X29" s="1"/>
    </row>
    <row r="30" spans="1:24" ht="16.5" customHeight="1" x14ac:dyDescent="0.2">
      <c r="A30" s="57">
        <v>6</v>
      </c>
      <c r="B30" s="58"/>
      <c r="C30" s="58"/>
      <c r="D30" s="242" t="s">
        <v>241</v>
      </c>
      <c r="E30" s="59"/>
      <c r="F30" s="59"/>
      <c r="G30" s="59"/>
      <c r="H30" s="59"/>
      <c r="I30" s="59"/>
      <c r="J30" s="97"/>
      <c r="K30" s="1"/>
      <c r="L30" s="1"/>
      <c r="M30" s="1"/>
      <c r="N30" s="1"/>
      <c r="O30" s="1"/>
      <c r="P30" s="1"/>
      <c r="Q30" s="1"/>
      <c r="R30" s="1"/>
      <c r="S30" s="1"/>
      <c r="T30" s="1"/>
      <c r="U30" s="1"/>
      <c r="V30" s="1"/>
      <c r="W30" s="1"/>
      <c r="X30" s="1"/>
    </row>
    <row r="31" spans="1:24" ht="25.5" customHeight="1" x14ac:dyDescent="0.2">
      <c r="A31" s="50" t="s">
        <v>28</v>
      </c>
      <c r="B31" s="127" t="s">
        <v>851</v>
      </c>
      <c r="C31" s="128" t="s">
        <v>848</v>
      </c>
      <c r="D31" s="131" t="s">
        <v>849</v>
      </c>
      <c r="E31" s="138">
        <f>'Memória de Cálculo'!J70</f>
        <v>50</v>
      </c>
      <c r="F31" s="122" t="s">
        <v>850</v>
      </c>
      <c r="G31" s="84">
        <v>24.42</v>
      </c>
      <c r="H31" s="53">
        <f t="shared" ref="H31:H41" si="0">G31*(1+$H$6)</f>
        <v>31.277743385310785</v>
      </c>
      <c r="I31" s="52">
        <f>E31*H31</f>
        <v>1563.8871692655393</v>
      </c>
      <c r="J31" s="97"/>
      <c r="K31" s="238">
        <f t="shared" ref="K31:K41" si="1">I31/$I$186</f>
        <v>1.1882794085296278E-4</v>
      </c>
      <c r="L31" s="1"/>
      <c r="M31" s="1"/>
      <c r="N31" s="1"/>
      <c r="O31" s="1"/>
      <c r="P31" s="1"/>
      <c r="Q31" s="1"/>
      <c r="R31" s="1"/>
      <c r="S31" s="1"/>
      <c r="T31" s="1"/>
      <c r="U31" s="1"/>
      <c r="V31" s="1"/>
      <c r="W31" s="1"/>
      <c r="X31" s="1"/>
    </row>
    <row r="32" spans="1:24" s="166" customFormat="1" ht="25.5" customHeight="1" x14ac:dyDescent="0.2">
      <c r="A32" s="50" t="s">
        <v>29</v>
      </c>
      <c r="B32" s="127" t="s">
        <v>853</v>
      </c>
      <c r="C32" s="128" t="s">
        <v>848</v>
      </c>
      <c r="D32" s="131" t="s">
        <v>852</v>
      </c>
      <c r="E32" s="138">
        <f>'Memória de Cálculo'!J77</f>
        <v>152.21150000000003</v>
      </c>
      <c r="F32" s="122" t="s">
        <v>176</v>
      </c>
      <c r="G32" s="84">
        <v>99.2</v>
      </c>
      <c r="H32" s="53">
        <f t="shared" ref="H32" si="2">G32*(1+$H$6)</f>
        <v>127.05782734737224</v>
      </c>
      <c r="I32" s="52">
        <f>E32*H32</f>
        <v>19339.662487284553</v>
      </c>
      <c r="J32" s="97"/>
      <c r="K32" s="238">
        <f t="shared" si="1"/>
        <v>1.4694744706132369E-3</v>
      </c>
      <c r="L32" s="1"/>
      <c r="M32" s="1"/>
      <c r="N32" s="1"/>
      <c r="O32" s="1"/>
      <c r="P32" s="1"/>
      <c r="Q32" s="1"/>
      <c r="R32" s="1"/>
      <c r="S32" s="1"/>
      <c r="T32" s="1"/>
      <c r="U32" s="1"/>
      <c r="V32" s="1"/>
      <c r="W32" s="1"/>
      <c r="X32" s="1"/>
    </row>
    <row r="33" spans="1:24" ht="25.5" customHeight="1" x14ac:dyDescent="0.2">
      <c r="A33" s="50" t="s">
        <v>30</v>
      </c>
      <c r="B33" s="127" t="s">
        <v>497</v>
      </c>
      <c r="C33" s="128" t="s">
        <v>848</v>
      </c>
      <c r="D33" s="202" t="s">
        <v>516</v>
      </c>
      <c r="E33" s="189">
        <f>'Memória de Cálculo'!J93</f>
        <v>14088.480000000001</v>
      </c>
      <c r="F33" s="203" t="s">
        <v>173</v>
      </c>
      <c r="G33" s="204">
        <v>43.03</v>
      </c>
      <c r="H33" s="191">
        <f t="shared" si="0"/>
        <v>55.11389426166761</v>
      </c>
      <c r="I33" s="190">
        <f t="shared" ref="I33:I41" si="3">E33*H33</f>
        <v>776470.99702761893</v>
      </c>
      <c r="J33" s="97"/>
      <c r="K33" s="238">
        <f t="shared" si="1"/>
        <v>5.8998149944647707E-2</v>
      </c>
      <c r="L33" s="1"/>
      <c r="M33" s="1"/>
      <c r="N33" s="1"/>
      <c r="O33" s="1"/>
      <c r="P33" s="1"/>
      <c r="Q33" s="1"/>
      <c r="R33" s="1"/>
      <c r="S33" s="1"/>
      <c r="T33" s="1"/>
      <c r="U33" s="1"/>
      <c r="V33" s="1"/>
      <c r="W33" s="1"/>
      <c r="X33" s="1"/>
    </row>
    <row r="34" spans="1:24" ht="25.5" customHeight="1" x14ac:dyDescent="0.2">
      <c r="A34" s="50" t="s">
        <v>31</v>
      </c>
      <c r="B34" s="127" t="s">
        <v>242</v>
      </c>
      <c r="C34" s="128" t="s">
        <v>848</v>
      </c>
      <c r="D34" s="131" t="s">
        <v>517</v>
      </c>
      <c r="E34" s="138">
        <f>'Memória de Cálculo'!J112</f>
        <v>82137.159999999974</v>
      </c>
      <c r="F34" s="122" t="s">
        <v>27</v>
      </c>
      <c r="G34" s="84">
        <v>13.52</v>
      </c>
      <c r="H34" s="53">
        <f t="shared" si="0"/>
        <v>17.316752275569279</v>
      </c>
      <c r="I34" s="52">
        <f t="shared" si="3"/>
        <v>1422348.8523387974</v>
      </c>
      <c r="J34" s="97"/>
      <c r="K34" s="239">
        <f t="shared" si="1"/>
        <v>0.10807351618427169</v>
      </c>
      <c r="L34" s="1"/>
      <c r="M34" s="1">
        <f>E34/2</f>
        <v>41068.579999999987</v>
      </c>
      <c r="N34" s="1"/>
      <c r="O34" s="1"/>
      <c r="P34" s="1"/>
      <c r="Q34" s="1"/>
      <c r="R34" s="1"/>
      <c r="S34" s="1"/>
      <c r="T34" s="1"/>
      <c r="U34" s="1"/>
      <c r="V34" s="1"/>
      <c r="W34" s="1"/>
      <c r="X34" s="1"/>
    </row>
    <row r="35" spans="1:24" ht="25.5" customHeight="1" x14ac:dyDescent="0.2">
      <c r="A35" s="50" t="s">
        <v>32</v>
      </c>
      <c r="B35" s="127" t="s">
        <v>277</v>
      </c>
      <c r="C35" s="128" t="s">
        <v>848</v>
      </c>
      <c r="D35" s="131" t="s">
        <v>892</v>
      </c>
      <c r="E35" s="138">
        <f>'Memória de Cálculo'!J131</f>
        <v>1520.232</v>
      </c>
      <c r="F35" s="122" t="s">
        <v>176</v>
      </c>
      <c r="G35" s="84">
        <v>730.24</v>
      </c>
      <c r="H35" s="53">
        <f t="shared" si="0"/>
        <v>935.30955486033361</v>
      </c>
      <c r="I35" s="52">
        <f t="shared" si="3"/>
        <v>1421887.5152044347</v>
      </c>
      <c r="J35" s="97"/>
      <c r="K35" s="239">
        <f t="shared" si="1"/>
        <v>0.10803846266967507</v>
      </c>
      <c r="L35" s="1"/>
      <c r="M35" s="1">
        <f>E35/2</f>
        <v>760.11599999999999</v>
      </c>
      <c r="N35" s="1"/>
      <c r="O35" s="1"/>
      <c r="P35" s="1"/>
      <c r="Q35" s="1"/>
      <c r="R35" s="1"/>
      <c r="S35" s="1"/>
      <c r="T35" s="1"/>
      <c r="U35" s="1"/>
      <c r="V35" s="1"/>
      <c r="W35" s="1"/>
      <c r="X35" s="1"/>
    </row>
    <row r="36" spans="1:24" ht="25.5" customHeight="1" x14ac:dyDescent="0.2">
      <c r="A36" s="50" t="s">
        <v>33</v>
      </c>
      <c r="B36" s="127" t="s">
        <v>243</v>
      </c>
      <c r="C36" s="128" t="s">
        <v>848</v>
      </c>
      <c r="D36" s="131" t="s">
        <v>518</v>
      </c>
      <c r="E36" s="138">
        <f>'Memória de Cálculo'!J139</f>
        <v>4899.58</v>
      </c>
      <c r="F36" s="122" t="s">
        <v>522</v>
      </c>
      <c r="G36" s="84">
        <v>13.23</v>
      </c>
      <c r="H36" s="53">
        <f t="shared" si="0"/>
        <v>16.945313062557808</v>
      </c>
      <c r="I36" s="52">
        <f t="shared" si="3"/>
        <v>83024.916975046988</v>
      </c>
      <c r="J36" s="97"/>
      <c r="K36" s="238">
        <f t="shared" si="1"/>
        <v>6.3084345965101346E-3</v>
      </c>
      <c r="L36" s="1"/>
      <c r="M36" s="1"/>
      <c r="N36" s="1"/>
      <c r="O36" s="1"/>
      <c r="P36" s="1"/>
      <c r="Q36" s="1"/>
      <c r="R36" s="1"/>
      <c r="S36" s="1"/>
      <c r="T36" s="1"/>
      <c r="U36" s="1"/>
      <c r="V36" s="1"/>
      <c r="W36" s="1"/>
      <c r="X36" s="1"/>
    </row>
    <row r="37" spans="1:24" s="166" customFormat="1" ht="25.5" customHeight="1" x14ac:dyDescent="0.2">
      <c r="A37" s="50" t="s">
        <v>270</v>
      </c>
      <c r="B37" s="127" t="s">
        <v>882</v>
      </c>
      <c r="C37" s="128" t="s">
        <v>848</v>
      </c>
      <c r="D37" s="229" t="s">
        <v>881</v>
      </c>
      <c r="E37" s="138">
        <f>'Memória de Cálculo'!J178</f>
        <v>8.1795000000000009</v>
      </c>
      <c r="F37" s="122" t="s">
        <v>176</v>
      </c>
      <c r="G37" s="84">
        <v>2683.91</v>
      </c>
      <c r="H37" s="53">
        <f t="shared" si="0"/>
        <v>3437.618683426268</v>
      </c>
      <c r="I37" s="52">
        <f t="shared" si="3"/>
        <v>28118.002021085162</v>
      </c>
      <c r="J37" s="97"/>
      <c r="K37" s="238">
        <f t="shared" si="1"/>
        <v>2.13647400319433E-3</v>
      </c>
      <c r="L37" s="1"/>
      <c r="M37" s="1"/>
      <c r="N37" s="1"/>
      <c r="O37" s="1"/>
      <c r="P37" s="1"/>
      <c r="Q37" s="1"/>
      <c r="R37" s="1"/>
      <c r="S37" s="1"/>
      <c r="T37" s="1"/>
      <c r="U37" s="1"/>
      <c r="V37" s="1"/>
      <c r="W37" s="1"/>
      <c r="X37" s="1"/>
    </row>
    <row r="38" spans="1:24" s="166" customFormat="1" ht="25.5" customHeight="1" x14ac:dyDescent="0.2">
      <c r="A38" s="50" t="s">
        <v>271</v>
      </c>
      <c r="B38" s="127" t="s">
        <v>883</v>
      </c>
      <c r="C38" s="128" t="s">
        <v>848</v>
      </c>
      <c r="D38" s="229" t="s">
        <v>884</v>
      </c>
      <c r="E38" s="138">
        <f>'Memória de Cálculo'!J184</f>
        <v>1.1025</v>
      </c>
      <c r="F38" s="122" t="s">
        <v>176</v>
      </c>
      <c r="G38" s="84">
        <v>2683.91</v>
      </c>
      <c r="H38" s="53">
        <f t="shared" si="0"/>
        <v>3437.618683426268</v>
      </c>
      <c r="I38" s="52">
        <f t="shared" si="3"/>
        <v>3789.9745984774604</v>
      </c>
      <c r="J38" s="97"/>
      <c r="K38" s="238">
        <f t="shared" si="1"/>
        <v>2.8797146384519206E-4</v>
      </c>
      <c r="L38" s="1"/>
      <c r="M38" s="1"/>
      <c r="N38" s="1"/>
      <c r="O38" s="1"/>
      <c r="P38" s="1"/>
      <c r="Q38" s="1"/>
      <c r="R38" s="1"/>
      <c r="S38" s="1"/>
      <c r="T38" s="1"/>
      <c r="U38" s="1"/>
      <c r="V38" s="1"/>
      <c r="W38" s="1"/>
      <c r="X38" s="1"/>
    </row>
    <row r="39" spans="1:24" s="166" customFormat="1" ht="25.5" customHeight="1" x14ac:dyDescent="0.2">
      <c r="A39" s="50" t="s">
        <v>272</v>
      </c>
      <c r="B39" s="127" t="s">
        <v>245</v>
      </c>
      <c r="C39" s="233" t="s">
        <v>848</v>
      </c>
      <c r="D39" s="229" t="s">
        <v>520</v>
      </c>
      <c r="E39" s="138">
        <f>'Memória de Cálculo'!J220</f>
        <v>14.448</v>
      </c>
      <c r="F39" s="122" t="s">
        <v>176</v>
      </c>
      <c r="G39" s="83">
        <v>2917.67</v>
      </c>
      <c r="H39" s="53">
        <f t="shared" ref="H39:H40" si="4">G39*(1+$H$6)</f>
        <v>3737.024305610963</v>
      </c>
      <c r="I39" s="52">
        <f t="shared" ref="I39:I40" si="5">E39*H39</f>
        <v>53992.527167467197</v>
      </c>
      <c r="J39" s="97"/>
      <c r="K39" s="238">
        <f t="shared" si="1"/>
        <v>4.1024831911440837E-3</v>
      </c>
      <c r="L39" s="1"/>
      <c r="M39" s="1"/>
      <c r="N39" s="1"/>
      <c r="O39" s="1"/>
      <c r="P39" s="1"/>
      <c r="Q39" s="1"/>
      <c r="R39" s="1"/>
      <c r="S39" s="1"/>
      <c r="T39" s="1"/>
      <c r="U39" s="1"/>
      <c r="V39" s="1"/>
      <c r="W39" s="1"/>
      <c r="X39" s="1"/>
    </row>
    <row r="40" spans="1:24" s="166" customFormat="1" ht="25.5" customHeight="1" x14ac:dyDescent="0.2">
      <c r="A40" s="50" t="s">
        <v>879</v>
      </c>
      <c r="B40" s="127" t="s">
        <v>244</v>
      </c>
      <c r="C40" s="233" t="s">
        <v>848</v>
      </c>
      <c r="D40" s="229" t="s">
        <v>519</v>
      </c>
      <c r="E40" s="138">
        <f>'Memória de Cálculo'!J256</f>
        <v>14.448</v>
      </c>
      <c r="F40" s="122" t="s">
        <v>176</v>
      </c>
      <c r="G40" s="83">
        <v>2917.67</v>
      </c>
      <c r="H40" s="53">
        <f t="shared" si="4"/>
        <v>3737.024305610963</v>
      </c>
      <c r="I40" s="52">
        <f t="shared" si="5"/>
        <v>53992.527167467197</v>
      </c>
      <c r="J40" s="97"/>
      <c r="K40" s="238">
        <f t="shared" si="1"/>
        <v>4.1024831911440837E-3</v>
      </c>
      <c r="L40" s="1"/>
      <c r="M40" s="1"/>
      <c r="N40" s="1"/>
      <c r="O40" s="1"/>
      <c r="P40" s="1"/>
      <c r="Q40" s="1"/>
      <c r="R40" s="1"/>
      <c r="S40" s="1"/>
      <c r="T40" s="1"/>
      <c r="U40" s="1"/>
      <c r="V40" s="1"/>
      <c r="W40" s="1"/>
      <c r="X40" s="1"/>
    </row>
    <row r="41" spans="1:24" ht="25.5" customHeight="1" x14ac:dyDescent="0.2">
      <c r="A41" s="50" t="s">
        <v>880</v>
      </c>
      <c r="B41" s="127" t="s">
        <v>246</v>
      </c>
      <c r="C41" s="128" t="s">
        <v>848</v>
      </c>
      <c r="D41" s="131" t="s">
        <v>521</v>
      </c>
      <c r="E41" s="138">
        <f>'Memória de Cálculo'!J295</f>
        <v>1562.89</v>
      </c>
      <c r="F41" s="122" t="s">
        <v>173</v>
      </c>
      <c r="G41" s="84">
        <v>23.65</v>
      </c>
      <c r="H41" s="53">
        <f t="shared" si="0"/>
        <v>30.291508233521704</v>
      </c>
      <c r="I41" s="52">
        <f t="shared" si="3"/>
        <v>47342.295303088737</v>
      </c>
      <c r="J41" s="97"/>
      <c r="K41" s="238">
        <f t="shared" si="1"/>
        <v>3.5971824417236667E-3</v>
      </c>
      <c r="L41" s="1"/>
      <c r="M41" s="1"/>
      <c r="N41" s="1"/>
      <c r="O41" s="1"/>
      <c r="P41" s="1"/>
      <c r="Q41" s="1"/>
      <c r="R41" s="1"/>
      <c r="S41" s="1"/>
      <c r="T41" s="1"/>
      <c r="U41" s="1"/>
      <c r="V41" s="1"/>
      <c r="W41" s="1"/>
      <c r="X41" s="1"/>
    </row>
    <row r="42" spans="1:24" ht="16.5" customHeight="1" x14ac:dyDescent="0.2">
      <c r="A42" s="269" t="s">
        <v>16</v>
      </c>
      <c r="B42" s="266"/>
      <c r="C42" s="266"/>
      <c r="D42" s="299"/>
      <c r="E42" s="266"/>
      <c r="F42" s="266"/>
      <c r="G42" s="266"/>
      <c r="H42" s="266"/>
      <c r="I42" s="56">
        <f>SUM(I31:I41)</f>
        <v>3911871.1574600344</v>
      </c>
      <c r="J42" s="97"/>
      <c r="K42" s="1"/>
      <c r="L42" s="1"/>
      <c r="M42" s="1"/>
      <c r="N42" s="1"/>
      <c r="O42" s="1"/>
      <c r="P42" s="1"/>
      <c r="Q42" s="1"/>
      <c r="R42" s="1"/>
      <c r="S42" s="1"/>
      <c r="T42" s="1"/>
      <c r="U42" s="1"/>
      <c r="V42" s="1"/>
      <c r="W42" s="1"/>
      <c r="X42" s="1"/>
    </row>
    <row r="43" spans="1:24" ht="16.5" customHeight="1" x14ac:dyDescent="0.2">
      <c r="A43" s="57">
        <v>7</v>
      </c>
      <c r="B43" s="58"/>
      <c r="C43" s="58"/>
      <c r="D43" s="242" t="s">
        <v>34</v>
      </c>
      <c r="E43" s="59"/>
      <c r="F43" s="59"/>
      <c r="G43" s="59"/>
      <c r="H43" s="59"/>
      <c r="I43" s="59"/>
      <c r="J43" s="97"/>
      <c r="K43" s="1"/>
      <c r="L43" s="1"/>
      <c r="M43" s="1"/>
      <c r="N43" s="1"/>
      <c r="O43" s="1"/>
      <c r="P43" s="1"/>
      <c r="Q43" s="1"/>
      <c r="R43" s="1"/>
      <c r="S43" s="1"/>
      <c r="T43" s="1"/>
      <c r="U43" s="1"/>
      <c r="V43" s="1"/>
      <c r="W43" s="1"/>
      <c r="X43" s="1"/>
    </row>
    <row r="44" spans="1:24" ht="28.15" customHeight="1" x14ac:dyDescent="0.2">
      <c r="A44" s="60" t="s">
        <v>35</v>
      </c>
      <c r="B44" s="127" t="s">
        <v>248</v>
      </c>
      <c r="C44" s="128" t="s">
        <v>848</v>
      </c>
      <c r="D44" s="132" t="s">
        <v>523</v>
      </c>
      <c r="E44" s="139">
        <f>'Memória de Cálculo'!J310</f>
        <v>6678.6720000000005</v>
      </c>
      <c r="F44" s="60" t="s">
        <v>176</v>
      </c>
      <c r="G44" s="61">
        <v>65.430000000000007</v>
      </c>
      <c r="H44" s="53">
        <f>G44*(1+$H$6)</f>
        <v>83.804371404622643</v>
      </c>
      <c r="I44" s="61">
        <f>E44*H44</f>
        <v>559701.90877765394</v>
      </c>
      <c r="J44" s="97"/>
      <c r="K44" s="239">
        <f>I44/$I$186</f>
        <v>4.2527508773383065E-2</v>
      </c>
      <c r="L44" s="1"/>
      <c r="M44" s="1">
        <f>E44/2</f>
        <v>3339.3360000000002</v>
      </c>
      <c r="N44" s="1"/>
      <c r="O44" s="1"/>
      <c r="P44" s="1"/>
      <c r="Q44" s="1"/>
      <c r="R44" s="1"/>
      <c r="S44" s="1"/>
      <c r="T44" s="1"/>
      <c r="U44" s="1"/>
      <c r="V44" s="1"/>
      <c r="W44" s="1"/>
      <c r="X44" s="1"/>
    </row>
    <row r="45" spans="1:24" ht="27.6" customHeight="1" x14ac:dyDescent="0.2">
      <c r="A45" s="60" t="s">
        <v>361</v>
      </c>
      <c r="B45" s="127" t="s">
        <v>362</v>
      </c>
      <c r="C45" s="128" t="s">
        <v>848</v>
      </c>
      <c r="D45" s="132" t="s">
        <v>524</v>
      </c>
      <c r="E45" s="139">
        <f>'Memória de Cálculo'!J321</f>
        <v>4623.1919999999991</v>
      </c>
      <c r="F45" s="60" t="s">
        <v>173</v>
      </c>
      <c r="G45" s="61">
        <v>45.85</v>
      </c>
      <c r="H45" s="53">
        <f>G45*(1+$H$6)</f>
        <v>58.725820401986056</v>
      </c>
      <c r="I45" s="61">
        <f>E45*H45</f>
        <v>271500.74307589867</v>
      </c>
      <c r="J45" s="97"/>
      <c r="K45" s="238">
        <f>I45/$I$186</f>
        <v>2.0629285074900722E-2</v>
      </c>
      <c r="L45" s="1"/>
      <c r="M45" s="1"/>
      <c r="N45" s="1"/>
      <c r="O45" s="1"/>
      <c r="P45" s="1"/>
      <c r="Q45" s="1"/>
      <c r="R45" s="1"/>
      <c r="S45" s="1"/>
      <c r="T45" s="1"/>
      <c r="U45" s="1"/>
      <c r="V45" s="1"/>
      <c r="W45" s="1"/>
      <c r="X45" s="1"/>
    </row>
    <row r="46" spans="1:24" ht="16.5" customHeight="1" x14ac:dyDescent="0.2">
      <c r="A46" s="269" t="s">
        <v>16</v>
      </c>
      <c r="B46" s="266"/>
      <c r="C46" s="266"/>
      <c r="D46" s="299"/>
      <c r="E46" s="266"/>
      <c r="F46" s="266"/>
      <c r="G46" s="266"/>
      <c r="H46" s="266"/>
      <c r="I46" s="56">
        <f>SUM(I44:I45)</f>
        <v>831202.65185355255</v>
      </c>
      <c r="J46" s="97"/>
      <c r="K46" s="1"/>
      <c r="L46" s="1"/>
      <c r="M46" s="1"/>
      <c r="N46" s="1"/>
      <c r="O46" s="1"/>
      <c r="P46" s="1"/>
      <c r="Q46" s="1"/>
      <c r="R46" s="1"/>
      <c r="S46" s="1"/>
      <c r="T46" s="1"/>
      <c r="U46" s="1"/>
      <c r="V46" s="1"/>
      <c r="W46" s="1"/>
      <c r="X46" s="1"/>
    </row>
    <row r="47" spans="1:24" ht="16.5" customHeight="1" x14ac:dyDescent="0.2">
      <c r="A47" s="57">
        <v>8</v>
      </c>
      <c r="B47" s="58"/>
      <c r="C47" s="58"/>
      <c r="D47" s="242" t="s">
        <v>314</v>
      </c>
      <c r="E47" s="59"/>
      <c r="F47" s="59"/>
      <c r="G47" s="59"/>
      <c r="H47" s="59"/>
      <c r="I47" s="59"/>
      <c r="J47" s="97"/>
      <c r="K47" s="1"/>
      <c r="L47" s="1"/>
      <c r="M47" s="1"/>
      <c r="N47" s="1"/>
      <c r="O47" s="1"/>
      <c r="P47" s="1"/>
      <c r="Q47" s="1"/>
      <c r="R47" s="1"/>
      <c r="S47" s="1"/>
      <c r="T47" s="1"/>
      <c r="U47" s="1"/>
      <c r="V47" s="1"/>
      <c r="W47" s="1"/>
      <c r="X47" s="1"/>
    </row>
    <row r="48" spans="1:24" ht="25.5" customHeight="1" x14ac:dyDescent="0.2">
      <c r="A48" s="50" t="s">
        <v>36</v>
      </c>
      <c r="B48" s="127" t="s">
        <v>26</v>
      </c>
      <c r="C48" s="128" t="s">
        <v>848</v>
      </c>
      <c r="D48" s="131" t="s">
        <v>525</v>
      </c>
      <c r="E48" s="138">
        <f>'Memória de Cálculo'!J366</f>
        <v>68.477850000000004</v>
      </c>
      <c r="F48" s="50" t="s">
        <v>176</v>
      </c>
      <c r="G48" s="52">
        <v>504.77</v>
      </c>
      <c r="H48" s="53">
        <f t="shared" ref="H48:H57" si="6">G48*(1+$H$6)</f>
        <v>646.52197086827698</v>
      </c>
      <c r="I48" s="52">
        <f t="shared" ref="I48:I54" si="7">E48*H48</f>
        <v>44272.434542822244</v>
      </c>
      <c r="J48" s="97"/>
      <c r="K48" s="238">
        <f t="shared" ref="K48:K59" si="8">I48/$I$186</f>
        <v>3.3639269741830668E-3</v>
      </c>
      <c r="L48" s="1"/>
      <c r="M48" s="1"/>
      <c r="N48" s="1"/>
      <c r="O48" s="1"/>
      <c r="P48" s="1"/>
      <c r="Q48" s="1"/>
      <c r="R48" s="1"/>
      <c r="S48" s="1"/>
      <c r="T48" s="1"/>
      <c r="U48" s="1"/>
      <c r="V48" s="1"/>
      <c r="W48" s="1"/>
      <c r="X48" s="1"/>
    </row>
    <row r="49" spans="1:24" ht="25.5" customHeight="1" x14ac:dyDescent="0.2">
      <c r="A49" s="50" t="s">
        <v>37</v>
      </c>
      <c r="B49" s="127" t="s">
        <v>249</v>
      </c>
      <c r="C49" s="128" t="s">
        <v>848</v>
      </c>
      <c r="D49" s="131" t="s">
        <v>526</v>
      </c>
      <c r="E49" s="138">
        <f>'Memória de Cálculo'!J389</f>
        <v>4997.1039999999994</v>
      </c>
      <c r="F49" s="50" t="s">
        <v>173</v>
      </c>
      <c r="G49" s="52">
        <v>39.409999999999997</v>
      </c>
      <c r="H49" s="53">
        <f t="shared" si="6"/>
        <v>50.47730822338648</v>
      </c>
      <c r="I49" s="52">
        <f t="shared" si="7"/>
        <v>252240.35883231743</v>
      </c>
      <c r="J49" s="97"/>
      <c r="K49" s="238">
        <f t="shared" si="8"/>
        <v>1.9165834357559999E-2</v>
      </c>
      <c r="L49" s="1"/>
      <c r="M49" s="1"/>
      <c r="N49" s="1"/>
      <c r="O49" s="1"/>
      <c r="P49" s="1"/>
      <c r="Q49" s="1"/>
      <c r="R49" s="1"/>
      <c r="S49" s="1"/>
      <c r="T49" s="1"/>
      <c r="U49" s="1"/>
      <c r="V49" s="1"/>
      <c r="W49" s="1"/>
      <c r="X49" s="1"/>
    </row>
    <row r="50" spans="1:24" ht="25.5" customHeight="1" x14ac:dyDescent="0.2">
      <c r="A50" s="50" t="s">
        <v>38</v>
      </c>
      <c r="B50" s="127" t="s">
        <v>311</v>
      </c>
      <c r="C50" s="128" t="s">
        <v>848</v>
      </c>
      <c r="D50" s="131" t="s">
        <v>527</v>
      </c>
      <c r="E50" s="138">
        <f>'Memória de Cálculo'!J412</f>
        <v>4997.1039999999994</v>
      </c>
      <c r="F50" s="50" t="s">
        <v>173</v>
      </c>
      <c r="G50" s="52">
        <v>65.08</v>
      </c>
      <c r="H50" s="53">
        <f t="shared" si="6"/>
        <v>83.356082699263951</v>
      </c>
      <c r="I50" s="52">
        <f t="shared" si="7"/>
        <v>416539.01428082265</v>
      </c>
      <c r="J50" s="97"/>
      <c r="K50" s="238">
        <f t="shared" si="8"/>
        <v>3.1649644759959523E-2</v>
      </c>
      <c r="L50" s="1"/>
      <c r="M50" s="1"/>
      <c r="N50" s="1"/>
      <c r="O50" s="1"/>
      <c r="P50" s="1"/>
      <c r="Q50" s="1"/>
      <c r="R50" s="1"/>
      <c r="S50" s="1"/>
      <c r="T50" s="1"/>
      <c r="U50" s="1"/>
      <c r="V50" s="1"/>
      <c r="W50" s="1"/>
      <c r="X50" s="1"/>
    </row>
    <row r="51" spans="1:24" ht="25.5" customHeight="1" x14ac:dyDescent="0.2">
      <c r="A51" s="50" t="s">
        <v>39</v>
      </c>
      <c r="B51" s="127" t="s">
        <v>337</v>
      </c>
      <c r="C51" s="128" t="s">
        <v>848</v>
      </c>
      <c r="D51" s="131" t="s">
        <v>528</v>
      </c>
      <c r="E51" s="138">
        <f>'Memória de Cálculo'!J467</f>
        <v>4255.0899999999983</v>
      </c>
      <c r="F51" s="50" t="s">
        <v>25</v>
      </c>
      <c r="G51" s="52">
        <v>11.63</v>
      </c>
      <c r="H51" s="53">
        <f t="shared" si="6"/>
        <v>14.89599326663245</v>
      </c>
      <c r="I51" s="52">
        <f t="shared" si="7"/>
        <v>63383.791988915051</v>
      </c>
      <c r="J51" s="97"/>
      <c r="K51" s="238">
        <f t="shared" si="8"/>
        <v>4.8160542739362046E-3</v>
      </c>
      <c r="L51" s="1"/>
      <c r="M51" s="1"/>
      <c r="N51" s="1"/>
      <c r="O51" s="1"/>
      <c r="P51" s="1"/>
      <c r="Q51" s="1"/>
      <c r="R51" s="1"/>
      <c r="S51" s="1"/>
      <c r="T51" s="1"/>
      <c r="U51" s="1"/>
      <c r="V51" s="1"/>
      <c r="W51" s="1"/>
      <c r="X51" s="1"/>
    </row>
    <row r="52" spans="1:24" ht="25.5" customHeight="1" x14ac:dyDescent="0.2">
      <c r="A52" s="50" t="s">
        <v>40</v>
      </c>
      <c r="B52" s="127" t="s">
        <v>367</v>
      </c>
      <c r="C52" s="128" t="s">
        <v>848</v>
      </c>
      <c r="D52" s="131" t="s">
        <v>529</v>
      </c>
      <c r="E52" s="138">
        <f>'Memória de Cálculo'!J502</f>
        <v>5343.1699999999992</v>
      </c>
      <c r="F52" s="50" t="s">
        <v>173</v>
      </c>
      <c r="G52" s="52">
        <v>69.349999999999994</v>
      </c>
      <c r="H52" s="53">
        <f t="shared" si="6"/>
        <v>88.825204904639747</v>
      </c>
      <c r="I52" s="52">
        <f t="shared" si="7"/>
        <v>474608.1700903239</v>
      </c>
      <c r="J52" s="97"/>
      <c r="K52" s="239">
        <f t="shared" si="8"/>
        <v>3.6061880084553632E-2</v>
      </c>
      <c r="L52" s="1"/>
      <c r="M52" s="1">
        <f>E52/2</f>
        <v>2671.5849999999996</v>
      </c>
      <c r="N52" s="1"/>
      <c r="O52" s="1"/>
      <c r="P52" s="1"/>
      <c r="Q52" s="1"/>
      <c r="R52" s="1"/>
      <c r="S52" s="1"/>
      <c r="T52" s="1"/>
      <c r="U52" s="1"/>
      <c r="V52" s="1"/>
      <c r="W52" s="1"/>
      <c r="X52" s="1"/>
    </row>
    <row r="53" spans="1:24" ht="25.5" customHeight="1" x14ac:dyDescent="0.2">
      <c r="A53" s="50" t="s">
        <v>41</v>
      </c>
      <c r="B53" s="127" t="s">
        <v>250</v>
      </c>
      <c r="C53" s="128" t="s">
        <v>848</v>
      </c>
      <c r="D53" s="131" t="s">
        <v>530</v>
      </c>
      <c r="E53" s="138">
        <f>'Memória de Cálculo'!J537</f>
        <v>50.190000000000019</v>
      </c>
      <c r="F53" s="50" t="s">
        <v>173</v>
      </c>
      <c r="G53" s="52">
        <v>292.42</v>
      </c>
      <c r="H53" s="53">
        <f t="shared" si="6"/>
        <v>374.53880920280835</v>
      </c>
      <c r="I53" s="52">
        <f t="shared" si="7"/>
        <v>18798.102833888959</v>
      </c>
      <c r="J53" s="97"/>
      <c r="K53" s="238">
        <f t="shared" si="8"/>
        <v>1.4283254544139E-3</v>
      </c>
      <c r="L53" s="1"/>
      <c r="M53" s="1"/>
      <c r="N53" s="1"/>
      <c r="O53" s="1"/>
      <c r="P53" s="1"/>
      <c r="Q53" s="1"/>
      <c r="R53" s="1"/>
      <c r="S53" s="1"/>
      <c r="T53" s="1"/>
      <c r="U53" s="1"/>
      <c r="V53" s="1"/>
      <c r="W53" s="1"/>
      <c r="X53" s="1"/>
    </row>
    <row r="54" spans="1:24" ht="25.5" customHeight="1" x14ac:dyDescent="0.2">
      <c r="A54" s="50" t="s">
        <v>42</v>
      </c>
      <c r="B54" s="127" t="s">
        <v>360</v>
      </c>
      <c r="C54" s="128" t="s">
        <v>848</v>
      </c>
      <c r="D54" s="140" t="s">
        <v>531</v>
      </c>
      <c r="E54" s="138">
        <f>'Memória de Cálculo'!J574</f>
        <v>118.44000000000004</v>
      </c>
      <c r="F54" s="50" t="s">
        <v>173</v>
      </c>
      <c r="G54" s="52">
        <v>176.3</v>
      </c>
      <c r="H54" s="53">
        <f t="shared" si="6"/>
        <v>225.80942501352547</v>
      </c>
      <c r="I54" s="52">
        <f t="shared" si="7"/>
        <v>26744.868298601967</v>
      </c>
      <c r="J54" s="97"/>
      <c r="K54" s="238">
        <f t="shared" si="8"/>
        <v>2.0321399719642691E-3</v>
      </c>
      <c r="L54" s="1"/>
      <c r="M54" s="1"/>
      <c r="N54" s="1"/>
      <c r="O54" s="1"/>
      <c r="P54" s="1"/>
      <c r="Q54" s="1"/>
      <c r="R54" s="1"/>
      <c r="S54" s="1"/>
      <c r="T54" s="1"/>
      <c r="U54" s="1"/>
      <c r="V54" s="1"/>
      <c r="W54" s="1"/>
      <c r="X54" s="1"/>
    </row>
    <row r="55" spans="1:24" ht="25.5" customHeight="1" x14ac:dyDescent="0.2">
      <c r="A55" s="50" t="s">
        <v>369</v>
      </c>
      <c r="B55" s="127" t="s">
        <v>251</v>
      </c>
      <c r="C55" s="128" t="s">
        <v>848</v>
      </c>
      <c r="D55" s="131" t="s">
        <v>532</v>
      </c>
      <c r="E55" s="180">
        <f>'Memória de Cálculo'!J615</f>
        <v>14170.435999999998</v>
      </c>
      <c r="F55" s="50" t="s">
        <v>173</v>
      </c>
      <c r="G55" s="52">
        <v>8.4499999999999993</v>
      </c>
      <c r="H55" s="53">
        <f t="shared" si="6"/>
        <v>10.822970172230798</v>
      </c>
      <c r="I55" s="52">
        <f>E55*H55</f>
        <v>153366.20615550547</v>
      </c>
      <c r="J55" s="97"/>
      <c r="K55" s="238">
        <f t="shared" si="8"/>
        <v>1.1653136384799723E-2</v>
      </c>
      <c r="L55" s="1"/>
      <c r="M55" s="1"/>
      <c r="N55" s="1"/>
      <c r="O55" s="1"/>
      <c r="P55" s="1"/>
      <c r="Q55" s="1"/>
      <c r="R55" s="1"/>
      <c r="S55" s="1"/>
      <c r="T55" s="1"/>
      <c r="U55" s="1"/>
      <c r="V55" s="1"/>
      <c r="W55" s="1"/>
      <c r="X55" s="1"/>
    </row>
    <row r="56" spans="1:24" ht="25.5" customHeight="1" x14ac:dyDescent="0.2">
      <c r="A56" s="234" t="s">
        <v>370</v>
      </c>
      <c r="B56" s="218" t="s">
        <v>252</v>
      </c>
      <c r="C56" s="128" t="s">
        <v>848</v>
      </c>
      <c r="D56" s="235" t="s">
        <v>533</v>
      </c>
      <c r="E56" s="180">
        <f>'Memória de Cálculo'!J650</f>
        <v>5741.329999999999</v>
      </c>
      <c r="F56" s="234" t="s">
        <v>173</v>
      </c>
      <c r="G56" s="236">
        <v>30.02</v>
      </c>
      <c r="H56" s="223">
        <f t="shared" si="6"/>
        <v>38.45036267104954</v>
      </c>
      <c r="I56" s="236">
        <f>E56*H56</f>
        <v>220756.2207141768</v>
      </c>
      <c r="J56" s="97"/>
      <c r="K56" s="238">
        <f t="shared" si="8"/>
        <v>1.6773593168020774E-2</v>
      </c>
      <c r="L56" s="1"/>
      <c r="M56" s="1"/>
      <c r="N56" s="1"/>
      <c r="O56" s="1"/>
      <c r="P56" s="1"/>
      <c r="Q56" s="1"/>
      <c r="R56" s="1"/>
      <c r="S56" s="1"/>
      <c r="T56" s="1"/>
      <c r="U56" s="1"/>
      <c r="V56" s="1"/>
      <c r="W56" s="1"/>
      <c r="X56" s="1"/>
    </row>
    <row r="57" spans="1:24" ht="25.5" customHeight="1" x14ac:dyDescent="0.2">
      <c r="A57" s="234" t="s">
        <v>371</v>
      </c>
      <c r="B57" s="218" t="s">
        <v>253</v>
      </c>
      <c r="C57" s="128" t="s">
        <v>848</v>
      </c>
      <c r="D57" s="235" t="s">
        <v>534</v>
      </c>
      <c r="E57" s="180">
        <f>'Memória de Cálculo'!J659</f>
        <v>8429.1059999999998</v>
      </c>
      <c r="F57" s="234" t="s">
        <v>173</v>
      </c>
      <c r="G57" s="236">
        <v>31.89</v>
      </c>
      <c r="H57" s="223">
        <f t="shared" si="6"/>
        <v>40.845505182537302</v>
      </c>
      <c r="I57" s="236">
        <f>E57*H57</f>
        <v>344291.09280715627</v>
      </c>
      <c r="J57" s="97"/>
      <c r="K57" s="238">
        <f t="shared" si="8"/>
        <v>2.6160072424856729E-2</v>
      </c>
      <c r="L57" s="1"/>
      <c r="M57" s="1"/>
      <c r="N57" s="1"/>
      <c r="O57" s="1"/>
      <c r="P57" s="1"/>
      <c r="Q57" s="1"/>
      <c r="R57" s="1"/>
      <c r="S57" s="1"/>
      <c r="T57" s="1"/>
      <c r="U57" s="1"/>
      <c r="V57" s="1"/>
      <c r="W57" s="1"/>
      <c r="X57" s="1"/>
    </row>
    <row r="58" spans="1:24" ht="25.5" customHeight="1" x14ac:dyDescent="0.2">
      <c r="A58" s="234" t="s">
        <v>500</v>
      </c>
      <c r="B58" s="218" t="s">
        <v>498</v>
      </c>
      <c r="C58" s="128" t="s">
        <v>848</v>
      </c>
      <c r="D58" s="237" t="s">
        <v>535</v>
      </c>
      <c r="E58" s="180">
        <f>'Memória de Cálculo'!J714</f>
        <v>11843.269200000002</v>
      </c>
      <c r="F58" s="234" t="s">
        <v>173</v>
      </c>
      <c r="G58" s="236">
        <v>20.88</v>
      </c>
      <c r="H58" s="223">
        <f>ROUND(G58*1.3091,2)</f>
        <v>27.33</v>
      </c>
      <c r="I58" s="236">
        <f>E58*H58</f>
        <v>323676.54723600007</v>
      </c>
      <c r="J58" s="97"/>
      <c r="K58" s="238">
        <f t="shared" si="8"/>
        <v>2.4593729244874969E-2</v>
      </c>
      <c r="L58" s="1"/>
      <c r="M58" s="1"/>
      <c r="N58" s="1"/>
      <c r="O58" s="1"/>
      <c r="P58" s="1"/>
      <c r="Q58" s="1"/>
      <c r="R58" s="1"/>
      <c r="S58" s="1"/>
      <c r="T58" s="1"/>
      <c r="U58" s="1"/>
      <c r="V58" s="1"/>
      <c r="W58" s="1"/>
      <c r="X58" s="1"/>
    </row>
    <row r="59" spans="1:24" ht="25.5" customHeight="1" x14ac:dyDescent="0.2">
      <c r="A59" s="234" t="s">
        <v>501</v>
      </c>
      <c r="B59" s="218" t="s">
        <v>499</v>
      </c>
      <c r="C59" s="128" t="s">
        <v>848</v>
      </c>
      <c r="D59" s="237" t="s">
        <v>536</v>
      </c>
      <c r="E59" s="180">
        <f>'Memória de Cálculo'!J737</f>
        <v>5007.5199999999986</v>
      </c>
      <c r="F59" s="234" t="s">
        <v>173</v>
      </c>
      <c r="G59" s="236">
        <v>23.97</v>
      </c>
      <c r="H59" s="223">
        <f>ROUND(G59*1.3091,2)</f>
        <v>31.38</v>
      </c>
      <c r="I59" s="236">
        <f>E59*H59</f>
        <v>157135.97759999995</v>
      </c>
      <c r="J59" s="97"/>
      <c r="K59" s="238">
        <f t="shared" si="8"/>
        <v>1.1939572763995772E-2</v>
      </c>
      <c r="L59" s="1"/>
      <c r="M59" s="1"/>
      <c r="N59" s="1"/>
      <c r="O59" s="1"/>
      <c r="P59" s="1"/>
      <c r="Q59" s="1"/>
      <c r="R59" s="1"/>
      <c r="S59" s="1"/>
      <c r="T59" s="1"/>
      <c r="U59" s="1"/>
      <c r="V59" s="1"/>
      <c r="W59" s="1"/>
      <c r="X59" s="1"/>
    </row>
    <row r="60" spans="1:24" ht="16.5" customHeight="1" x14ac:dyDescent="0.2">
      <c r="A60" s="269" t="s">
        <v>16</v>
      </c>
      <c r="B60" s="266"/>
      <c r="C60" s="266"/>
      <c r="D60" s="299"/>
      <c r="E60" s="266"/>
      <c r="F60" s="266"/>
      <c r="G60" s="266"/>
      <c r="H60" s="266"/>
      <c r="I60" s="56">
        <f>SUM(I48:I59)</f>
        <v>2495812.7853805306</v>
      </c>
      <c r="J60" s="97"/>
      <c r="K60" s="1"/>
      <c r="L60" s="1"/>
      <c r="M60" s="1"/>
      <c r="N60" s="1"/>
      <c r="O60" s="1"/>
      <c r="P60" s="1"/>
      <c r="Q60" s="1"/>
      <c r="R60" s="1"/>
      <c r="S60" s="1"/>
      <c r="T60" s="1"/>
      <c r="U60" s="1"/>
      <c r="V60" s="1"/>
      <c r="W60" s="1"/>
      <c r="X60" s="1"/>
    </row>
    <row r="61" spans="1:24" ht="16.5" customHeight="1" x14ac:dyDescent="0.2">
      <c r="A61" s="57">
        <v>9</v>
      </c>
      <c r="B61" s="58"/>
      <c r="C61" s="58"/>
      <c r="D61" s="242" t="s">
        <v>368</v>
      </c>
      <c r="E61" s="59"/>
      <c r="F61" s="59"/>
      <c r="G61" s="59"/>
      <c r="H61" s="59"/>
      <c r="I61" s="59"/>
      <c r="J61" s="97"/>
      <c r="K61" s="1"/>
      <c r="L61" s="1"/>
      <c r="M61" s="1"/>
      <c r="N61" s="1"/>
      <c r="O61" s="1"/>
      <c r="P61" s="1"/>
      <c r="Q61" s="1"/>
      <c r="R61" s="1"/>
      <c r="S61" s="1"/>
      <c r="T61" s="1"/>
      <c r="U61" s="1"/>
      <c r="V61" s="1"/>
      <c r="W61" s="1"/>
      <c r="X61" s="1"/>
    </row>
    <row r="62" spans="1:24" ht="25.5" customHeight="1" x14ac:dyDescent="0.2">
      <c r="A62" s="50" t="s">
        <v>44</v>
      </c>
      <c r="B62" s="127" t="s">
        <v>209</v>
      </c>
      <c r="C62" s="128" t="s">
        <v>848</v>
      </c>
      <c r="D62" s="131" t="s">
        <v>537</v>
      </c>
      <c r="E62" s="138">
        <f>'Memória de Cálculo'!J758</f>
        <v>67.200000000000017</v>
      </c>
      <c r="F62" s="50" t="s">
        <v>173</v>
      </c>
      <c r="G62" s="52">
        <v>354.75</v>
      </c>
      <c r="H62" s="53">
        <f>G62*(1+$H$6)</f>
        <v>454.3726235028256</v>
      </c>
      <c r="I62" s="52">
        <f>E62*H62</f>
        <v>30533.840299389889</v>
      </c>
      <c r="J62" s="97"/>
      <c r="K62" s="238">
        <f>I62/$I$186</f>
        <v>2.3200352560048738E-3</v>
      </c>
      <c r="L62" s="1"/>
      <c r="M62" s="1"/>
      <c r="N62" s="1"/>
      <c r="O62" s="1"/>
      <c r="P62" s="1"/>
      <c r="Q62" s="1"/>
      <c r="R62" s="1"/>
      <c r="S62" s="1"/>
      <c r="T62" s="1"/>
      <c r="U62" s="1"/>
      <c r="V62" s="1"/>
      <c r="W62" s="1"/>
      <c r="X62" s="1"/>
    </row>
    <row r="63" spans="1:24" ht="25.5" customHeight="1" x14ac:dyDescent="0.2">
      <c r="A63" s="50" t="s">
        <v>45</v>
      </c>
      <c r="B63" s="127" t="s">
        <v>254</v>
      </c>
      <c r="C63" s="128" t="s">
        <v>848</v>
      </c>
      <c r="D63" s="131" t="s">
        <v>538</v>
      </c>
      <c r="E63" s="138">
        <f>'Memória de Cálculo'!J777</f>
        <v>134.40000000000003</v>
      </c>
      <c r="F63" s="50" t="s">
        <v>25</v>
      </c>
      <c r="G63" s="52">
        <v>47.79</v>
      </c>
      <c r="H63" s="53">
        <f>G63*(1+$H$6)</f>
        <v>61.210620654545551</v>
      </c>
      <c r="I63" s="52">
        <f>E63*H63</f>
        <v>8226.7074159709246</v>
      </c>
      <c r="J63" s="97"/>
      <c r="K63" s="238">
        <f>I63/$I$186</f>
        <v>6.2508518609991775E-4</v>
      </c>
      <c r="L63" s="1"/>
      <c r="M63" s="1"/>
      <c r="N63" s="1"/>
      <c r="O63" s="1"/>
      <c r="P63" s="1"/>
      <c r="Q63" s="1"/>
      <c r="R63" s="1"/>
      <c r="S63" s="1"/>
      <c r="T63" s="1"/>
      <c r="U63" s="1"/>
      <c r="V63" s="1"/>
      <c r="W63" s="1"/>
      <c r="X63" s="1"/>
    </row>
    <row r="64" spans="1:24" ht="25.5" customHeight="1" x14ac:dyDescent="0.2">
      <c r="A64" s="50" t="s">
        <v>46</v>
      </c>
      <c r="B64" s="127" t="s">
        <v>255</v>
      </c>
      <c r="C64" s="128" t="s">
        <v>848</v>
      </c>
      <c r="D64" s="131" t="s">
        <v>539</v>
      </c>
      <c r="E64" s="138">
        <f>'Memória de Cálculo'!J812</f>
        <v>246.40000000000006</v>
      </c>
      <c r="F64" s="50" t="s">
        <v>25</v>
      </c>
      <c r="G64" s="52">
        <v>184.11</v>
      </c>
      <c r="H64" s="53">
        <f>G64*(1+$H$6)</f>
        <v>235.8126672673861</v>
      </c>
      <c r="I64" s="52">
        <f>E64*H64</f>
        <v>58104.241214683949</v>
      </c>
      <c r="J64" s="97"/>
      <c r="K64" s="238">
        <f>I64/$I$186</f>
        <v>4.4149011987912896E-3</v>
      </c>
      <c r="L64" s="1"/>
      <c r="M64" s="1"/>
      <c r="N64" s="1"/>
      <c r="O64" s="1"/>
      <c r="P64" s="1"/>
      <c r="Q64" s="1"/>
      <c r="R64" s="1"/>
      <c r="S64" s="1"/>
      <c r="T64" s="1"/>
      <c r="U64" s="1"/>
      <c r="V64" s="1"/>
      <c r="W64" s="1"/>
      <c r="X64" s="1"/>
    </row>
    <row r="65" spans="1:24" ht="16.5" customHeight="1" x14ac:dyDescent="0.2">
      <c r="A65" s="269" t="s">
        <v>16</v>
      </c>
      <c r="B65" s="266"/>
      <c r="C65" s="266"/>
      <c r="D65" s="299"/>
      <c r="E65" s="266"/>
      <c r="F65" s="266"/>
      <c r="G65" s="266"/>
      <c r="H65" s="266"/>
      <c r="I65" s="56">
        <f>SUM(I62:I64)</f>
        <v>96864.788930044771</v>
      </c>
      <c r="J65" s="97"/>
      <c r="K65" s="1"/>
      <c r="L65" s="1"/>
      <c r="M65" s="1"/>
      <c r="N65" s="1"/>
      <c r="O65" s="1"/>
      <c r="P65" s="1"/>
      <c r="Q65" s="1"/>
      <c r="R65" s="1"/>
      <c r="S65" s="1"/>
      <c r="T65" s="1"/>
      <c r="U65" s="1"/>
      <c r="V65" s="1"/>
      <c r="W65" s="1"/>
      <c r="X65" s="1"/>
    </row>
    <row r="66" spans="1:24" ht="16.5" customHeight="1" x14ac:dyDescent="0.2">
      <c r="A66" s="57">
        <v>10</v>
      </c>
      <c r="B66" s="58"/>
      <c r="C66" s="58"/>
      <c r="D66" s="242" t="s">
        <v>256</v>
      </c>
      <c r="E66" s="59"/>
      <c r="F66" s="59"/>
      <c r="G66" s="59"/>
      <c r="H66" s="59"/>
      <c r="I66" s="59"/>
      <c r="J66" s="97"/>
      <c r="K66" s="1"/>
      <c r="L66" s="1"/>
      <c r="M66" s="1"/>
      <c r="N66" s="1"/>
      <c r="O66" s="1"/>
      <c r="P66" s="1"/>
      <c r="Q66" s="1"/>
      <c r="R66" s="1"/>
      <c r="S66" s="1"/>
      <c r="T66" s="1"/>
      <c r="U66" s="1"/>
      <c r="V66" s="1"/>
      <c r="W66" s="1"/>
      <c r="X66" s="1"/>
    </row>
    <row r="67" spans="1:24" ht="25.5" customHeight="1" x14ac:dyDescent="0.2">
      <c r="A67" s="60" t="s">
        <v>47</v>
      </c>
      <c r="B67" s="172" t="s">
        <v>211</v>
      </c>
      <c r="C67" s="128" t="s">
        <v>848</v>
      </c>
      <c r="D67" s="132" t="s">
        <v>540</v>
      </c>
      <c r="E67" s="145">
        <f>'Memória de Cálculo'!J831</f>
        <v>105</v>
      </c>
      <c r="F67" s="60" t="s">
        <v>52</v>
      </c>
      <c r="G67" s="61">
        <v>532.77</v>
      </c>
      <c r="H67" s="53">
        <f t="shared" ref="H67:H81" si="9">G67*(1+$H$6)</f>
        <v>682.38506729697076</v>
      </c>
      <c r="I67" s="61">
        <f t="shared" ref="I67:I81" si="10">E67*H67</f>
        <v>71650.432066181937</v>
      </c>
      <c r="J67" s="97"/>
      <c r="K67" s="238">
        <f t="shared" ref="K67:K81" si="11">I67/$I$186</f>
        <v>5.4441736405114356E-3</v>
      </c>
      <c r="L67" s="1"/>
      <c r="M67" s="1"/>
      <c r="N67" s="1"/>
      <c r="O67" s="1"/>
      <c r="P67" s="1"/>
      <c r="Q67" s="1"/>
      <c r="R67" s="1"/>
      <c r="S67" s="1"/>
      <c r="T67" s="1"/>
      <c r="U67" s="1"/>
      <c r="V67" s="1"/>
      <c r="W67" s="1"/>
      <c r="X67" s="1"/>
    </row>
    <row r="68" spans="1:24" ht="52.5" customHeight="1" x14ac:dyDescent="0.2">
      <c r="A68" s="60" t="s">
        <v>48</v>
      </c>
      <c r="B68" s="127" t="s">
        <v>365</v>
      </c>
      <c r="C68" s="128" t="s">
        <v>848</v>
      </c>
      <c r="D68" s="132" t="s">
        <v>541</v>
      </c>
      <c r="E68" s="139">
        <f>'Memória de Cálculo'!J835</f>
        <v>7</v>
      </c>
      <c r="F68" s="60" t="s">
        <v>52</v>
      </c>
      <c r="G68" s="61">
        <v>597.46</v>
      </c>
      <c r="H68" s="53">
        <f t="shared" si="9"/>
        <v>765.24162829597799</v>
      </c>
      <c r="I68" s="61">
        <f>E68*H68</f>
        <v>5356.6913980718455</v>
      </c>
      <c r="J68" s="97"/>
      <c r="K68" s="238">
        <f t="shared" si="11"/>
        <v>4.0701440687475668E-4</v>
      </c>
      <c r="L68" s="1"/>
      <c r="M68" s="1"/>
      <c r="N68" s="1"/>
      <c r="O68" s="1"/>
      <c r="P68" s="1"/>
      <c r="Q68" s="1"/>
      <c r="R68" s="1"/>
      <c r="S68" s="1"/>
      <c r="T68" s="1"/>
      <c r="U68" s="1"/>
      <c r="V68" s="1"/>
      <c r="W68" s="1"/>
      <c r="X68" s="1"/>
    </row>
    <row r="69" spans="1:24" ht="25.5" customHeight="1" x14ac:dyDescent="0.2">
      <c r="A69" s="60" t="s">
        <v>49</v>
      </c>
      <c r="B69" s="127" t="s">
        <v>257</v>
      </c>
      <c r="C69" s="128" t="s">
        <v>848</v>
      </c>
      <c r="D69" s="132" t="s">
        <v>542</v>
      </c>
      <c r="E69" s="139">
        <f>'Memória de Cálculo'!J854</f>
        <v>112</v>
      </c>
      <c r="F69" s="60" t="s">
        <v>52</v>
      </c>
      <c r="G69" s="61">
        <v>107.19</v>
      </c>
      <c r="H69" s="53">
        <f t="shared" si="9"/>
        <v>137.2916180782745</v>
      </c>
      <c r="I69" s="61">
        <f t="shared" si="10"/>
        <v>15376.661224766744</v>
      </c>
      <c r="J69" s="97"/>
      <c r="K69" s="238">
        <f t="shared" si="11"/>
        <v>1.1683560211001285E-3</v>
      </c>
      <c r="L69" s="1"/>
      <c r="M69" s="1"/>
      <c r="N69" s="1"/>
      <c r="O69" s="1"/>
      <c r="P69" s="1"/>
      <c r="Q69" s="1"/>
      <c r="R69" s="1"/>
      <c r="S69" s="1"/>
      <c r="T69" s="1"/>
      <c r="U69" s="1"/>
      <c r="V69" s="1"/>
      <c r="W69" s="1"/>
      <c r="X69" s="1"/>
    </row>
    <row r="70" spans="1:24" ht="39" customHeight="1" x14ac:dyDescent="0.2">
      <c r="A70" s="60" t="s">
        <v>372</v>
      </c>
      <c r="B70" s="127" t="s">
        <v>363</v>
      </c>
      <c r="C70" s="128" t="s">
        <v>848</v>
      </c>
      <c r="D70" s="132" t="s">
        <v>543</v>
      </c>
      <c r="E70" s="139">
        <f>'Memória de Cálculo'!J873</f>
        <v>112</v>
      </c>
      <c r="F70" s="60" t="s">
        <v>52</v>
      </c>
      <c r="G70" s="61">
        <v>352.67</v>
      </c>
      <c r="H70" s="53">
        <f t="shared" si="9"/>
        <v>451.70850776812262</v>
      </c>
      <c r="I70" s="61">
        <f t="shared" si="10"/>
        <v>50591.352870029732</v>
      </c>
      <c r="J70" s="97"/>
      <c r="K70" s="238">
        <f t="shared" si="11"/>
        <v>3.844053717337273E-3</v>
      </c>
      <c r="L70" s="1"/>
      <c r="M70" s="1"/>
      <c r="N70" s="1"/>
      <c r="O70" s="1"/>
      <c r="P70" s="1"/>
      <c r="Q70" s="1"/>
      <c r="R70" s="1"/>
      <c r="S70" s="1"/>
      <c r="T70" s="1"/>
      <c r="U70" s="1"/>
      <c r="V70" s="1"/>
      <c r="W70" s="1"/>
      <c r="X70" s="1"/>
    </row>
    <row r="71" spans="1:24" ht="38.25" x14ac:dyDescent="0.2">
      <c r="A71" s="60" t="s">
        <v>373</v>
      </c>
      <c r="B71" s="127" t="s">
        <v>210</v>
      </c>
      <c r="C71" s="128" t="s">
        <v>848</v>
      </c>
      <c r="D71" s="132" t="s">
        <v>544</v>
      </c>
      <c r="E71" s="139">
        <f>'Memória de Cálculo'!J892</f>
        <v>112</v>
      </c>
      <c r="F71" s="60" t="s">
        <v>52</v>
      </c>
      <c r="G71" s="61">
        <v>481.17</v>
      </c>
      <c r="H71" s="53">
        <f t="shared" si="9"/>
        <v>616.29450387837801</v>
      </c>
      <c r="I71" s="61">
        <f t="shared" si="10"/>
        <v>69024.984434378333</v>
      </c>
      <c r="J71" s="97"/>
      <c r="K71" s="238">
        <f t="shared" si="11"/>
        <v>5.2446857605443495E-3</v>
      </c>
      <c r="L71" s="1"/>
      <c r="M71" s="1"/>
      <c r="N71" s="1"/>
      <c r="O71" s="1"/>
      <c r="P71" s="1"/>
      <c r="Q71" s="1"/>
      <c r="R71" s="1"/>
      <c r="S71" s="1"/>
      <c r="T71" s="1"/>
      <c r="U71" s="1"/>
      <c r="V71" s="1"/>
      <c r="W71" s="1"/>
      <c r="X71" s="1"/>
    </row>
    <row r="72" spans="1:24" ht="38.25" x14ac:dyDescent="0.2">
      <c r="A72" s="60" t="s">
        <v>374</v>
      </c>
      <c r="B72" s="127" t="s">
        <v>258</v>
      </c>
      <c r="C72" s="128" t="s">
        <v>848</v>
      </c>
      <c r="D72" s="132" t="s">
        <v>545</v>
      </c>
      <c r="E72" s="139">
        <f>'Memória de Cálculo'!J911</f>
        <v>112</v>
      </c>
      <c r="F72" s="60" t="s">
        <v>52</v>
      </c>
      <c r="G72" s="61">
        <v>616.4</v>
      </c>
      <c r="H72" s="53">
        <f t="shared" si="9"/>
        <v>789.50045138024439</v>
      </c>
      <c r="I72" s="61">
        <f t="shared" si="10"/>
        <v>88424.050554587375</v>
      </c>
      <c r="J72" s="97"/>
      <c r="K72" s="238">
        <f t="shared" si="11"/>
        <v>6.7186738632905984E-3</v>
      </c>
      <c r="L72" s="1"/>
      <c r="M72" s="1"/>
      <c r="N72" s="1"/>
      <c r="O72" s="1"/>
      <c r="P72" s="1"/>
      <c r="Q72" s="1"/>
      <c r="R72" s="1"/>
      <c r="S72" s="1"/>
      <c r="T72" s="1"/>
      <c r="U72" s="1"/>
      <c r="V72" s="1"/>
      <c r="W72" s="1"/>
      <c r="X72" s="1"/>
    </row>
    <row r="73" spans="1:24" ht="25.5" customHeight="1" x14ac:dyDescent="0.2">
      <c r="A73" s="60" t="s">
        <v>375</v>
      </c>
      <c r="B73" s="127" t="s">
        <v>433</v>
      </c>
      <c r="C73" s="128" t="s">
        <v>848</v>
      </c>
      <c r="D73" s="131" t="s">
        <v>546</v>
      </c>
      <c r="E73" s="139">
        <f>'Memória de Cálculo'!J930</f>
        <v>112</v>
      </c>
      <c r="F73" s="60" t="s">
        <v>52</v>
      </c>
      <c r="G73" s="61">
        <v>156.08000000000001</v>
      </c>
      <c r="H73" s="53">
        <f t="shared" si="9"/>
        <v>199.91114609251875</v>
      </c>
      <c r="I73" s="61">
        <f>E73*H73</f>
        <v>22390.0483623621</v>
      </c>
      <c r="J73" s="97"/>
      <c r="K73" s="238">
        <f t="shared" si="11"/>
        <v>1.7012501891343229E-3</v>
      </c>
      <c r="L73" s="1"/>
      <c r="M73" s="1"/>
      <c r="N73" s="1"/>
      <c r="O73" s="1"/>
      <c r="P73" s="1"/>
      <c r="Q73" s="1"/>
      <c r="R73" s="1"/>
      <c r="S73" s="1"/>
      <c r="T73" s="1"/>
      <c r="U73" s="1"/>
      <c r="V73" s="1"/>
      <c r="W73" s="1"/>
      <c r="X73" s="1"/>
    </row>
    <row r="74" spans="1:24" ht="25.5" customHeight="1" x14ac:dyDescent="0.2">
      <c r="A74" s="60" t="s">
        <v>376</v>
      </c>
      <c r="B74" s="127" t="s">
        <v>364</v>
      </c>
      <c r="C74" s="128" t="s">
        <v>848</v>
      </c>
      <c r="D74" s="132" t="s">
        <v>547</v>
      </c>
      <c r="E74" s="139">
        <f>'Memória de Cálculo'!J930</f>
        <v>112</v>
      </c>
      <c r="F74" s="60" t="s">
        <v>52</v>
      </c>
      <c r="G74" s="61">
        <v>126.69</v>
      </c>
      <c r="H74" s="53">
        <f t="shared" si="9"/>
        <v>162.26770309111478</v>
      </c>
      <c r="I74" s="61">
        <f t="shared" si="10"/>
        <v>18173.982746204856</v>
      </c>
      <c r="J74" s="97"/>
      <c r="K74" s="238">
        <f t="shared" si="11"/>
        <v>1.3809032961393346E-3</v>
      </c>
      <c r="L74" s="1"/>
      <c r="M74" s="1"/>
      <c r="N74" s="1"/>
      <c r="O74" s="1"/>
      <c r="P74" s="1"/>
      <c r="Q74" s="1"/>
      <c r="R74" s="1"/>
      <c r="S74" s="1"/>
      <c r="T74" s="1"/>
      <c r="U74" s="1"/>
      <c r="V74" s="1"/>
      <c r="W74" s="1"/>
      <c r="X74" s="1"/>
    </row>
    <row r="75" spans="1:24" ht="25.5" customHeight="1" x14ac:dyDescent="0.2">
      <c r="A75" s="60" t="s">
        <v>377</v>
      </c>
      <c r="B75" s="127" t="s">
        <v>259</v>
      </c>
      <c r="C75" s="128" t="s">
        <v>848</v>
      </c>
      <c r="D75" s="132" t="s">
        <v>548</v>
      </c>
      <c r="E75" s="139">
        <f>'Memória de Cálculo'!J968</f>
        <v>112</v>
      </c>
      <c r="F75" s="60" t="s">
        <v>52</v>
      </c>
      <c r="G75" s="61">
        <v>75.599999999999994</v>
      </c>
      <c r="H75" s="53">
        <f t="shared" si="9"/>
        <v>96.830360357473182</v>
      </c>
      <c r="I75" s="61">
        <f t="shared" si="10"/>
        <v>10845.000360036996</v>
      </c>
      <c r="J75" s="97"/>
      <c r="K75" s="238">
        <f t="shared" si="11"/>
        <v>8.2402943553661447E-4</v>
      </c>
      <c r="L75" s="1"/>
      <c r="M75" s="1"/>
      <c r="N75" s="1"/>
      <c r="O75" s="1"/>
      <c r="P75" s="1"/>
      <c r="Q75" s="1"/>
      <c r="R75" s="1"/>
      <c r="S75" s="1"/>
      <c r="T75" s="1"/>
      <c r="U75" s="1"/>
      <c r="V75" s="1"/>
      <c r="W75" s="1"/>
      <c r="X75" s="1"/>
    </row>
    <row r="76" spans="1:24" ht="25.5" customHeight="1" x14ac:dyDescent="0.2">
      <c r="A76" s="60" t="s">
        <v>378</v>
      </c>
      <c r="B76" s="127" t="s">
        <v>260</v>
      </c>
      <c r="C76" s="128" t="s">
        <v>848</v>
      </c>
      <c r="D76" s="132" t="s">
        <v>549</v>
      </c>
      <c r="E76" s="139">
        <f>'Memória de Cálculo'!J986</f>
        <v>105</v>
      </c>
      <c r="F76" s="60" t="s">
        <v>52</v>
      </c>
      <c r="G76" s="61">
        <v>44.15</v>
      </c>
      <c r="H76" s="53">
        <f t="shared" si="9"/>
        <v>56.548418118815363</v>
      </c>
      <c r="I76" s="61">
        <f t="shared" si="10"/>
        <v>5937.5839024756133</v>
      </c>
      <c r="J76" s="97"/>
      <c r="K76" s="238">
        <f t="shared" si="11"/>
        <v>4.5115202850869954E-4</v>
      </c>
      <c r="L76" s="1"/>
      <c r="M76" s="1"/>
      <c r="N76" s="1"/>
      <c r="O76" s="1"/>
      <c r="P76" s="1"/>
      <c r="Q76" s="1"/>
      <c r="R76" s="1"/>
      <c r="S76" s="1"/>
      <c r="T76" s="1"/>
      <c r="U76" s="1"/>
      <c r="V76" s="1"/>
      <c r="W76" s="1"/>
      <c r="X76" s="1"/>
    </row>
    <row r="77" spans="1:24" ht="25.5" customHeight="1" x14ac:dyDescent="0.2">
      <c r="A77" s="60" t="s">
        <v>379</v>
      </c>
      <c r="B77" s="127" t="s">
        <v>366</v>
      </c>
      <c r="C77" s="128" t="s">
        <v>848</v>
      </c>
      <c r="D77" s="141" t="s">
        <v>550</v>
      </c>
      <c r="E77" s="139">
        <f>'Memória de Cálculo'!J990</f>
        <v>7</v>
      </c>
      <c r="F77" s="60" t="s">
        <v>52</v>
      </c>
      <c r="G77" s="61">
        <v>129.59</v>
      </c>
      <c r="H77" s="53">
        <f t="shared" si="9"/>
        <v>165.98209522122951</v>
      </c>
      <c r="I77" s="61">
        <f>E77*H77</f>
        <v>1161.8746665486067</v>
      </c>
      <c r="J77" s="97"/>
      <c r="K77" s="238">
        <f t="shared" si="11"/>
        <v>8.8282055680547202E-5</v>
      </c>
      <c r="L77" s="1"/>
      <c r="M77" s="1"/>
      <c r="N77" s="1"/>
      <c r="O77" s="1"/>
      <c r="P77" s="1"/>
      <c r="Q77" s="1"/>
      <c r="R77" s="1"/>
      <c r="S77" s="1"/>
      <c r="T77" s="1"/>
      <c r="U77" s="1"/>
      <c r="V77" s="1"/>
      <c r="W77" s="1"/>
      <c r="X77" s="1"/>
    </row>
    <row r="78" spans="1:24" ht="25.5" customHeight="1" x14ac:dyDescent="0.2">
      <c r="A78" s="60" t="s">
        <v>380</v>
      </c>
      <c r="B78" s="127" t="s">
        <v>381</v>
      </c>
      <c r="C78" s="128" t="s">
        <v>848</v>
      </c>
      <c r="D78" s="131" t="s">
        <v>551</v>
      </c>
      <c r="E78" s="139">
        <f>'Memória de Cálculo'!J995</f>
        <v>28</v>
      </c>
      <c r="F78" s="60" t="s">
        <v>52</v>
      </c>
      <c r="G78" s="61">
        <v>226.84</v>
      </c>
      <c r="H78" s="53">
        <f t="shared" si="9"/>
        <v>290.5423140673177</v>
      </c>
      <c r="I78" s="61">
        <f>E78*H78</f>
        <v>8135.184793884896</v>
      </c>
      <c r="J78" s="97"/>
      <c r="K78" s="238">
        <f t="shared" si="11"/>
        <v>6.181310752550451E-4</v>
      </c>
      <c r="L78" s="1"/>
      <c r="M78" s="1"/>
      <c r="N78" s="1"/>
      <c r="O78" s="1"/>
      <c r="P78" s="1"/>
      <c r="Q78" s="1"/>
      <c r="R78" s="1"/>
      <c r="S78" s="1"/>
      <c r="T78" s="1"/>
      <c r="U78" s="1"/>
      <c r="V78" s="1"/>
      <c r="W78" s="1"/>
      <c r="X78" s="1"/>
    </row>
    <row r="79" spans="1:24" ht="25.5" customHeight="1" x14ac:dyDescent="0.2">
      <c r="A79" s="60" t="s">
        <v>383</v>
      </c>
      <c r="B79" s="127" t="s">
        <v>382</v>
      </c>
      <c r="C79" s="128" t="s">
        <v>848</v>
      </c>
      <c r="D79" s="131" t="s">
        <v>552</v>
      </c>
      <c r="E79" s="139">
        <f>'Memória de Cálculo'!J999</f>
        <v>7</v>
      </c>
      <c r="F79" s="60" t="s">
        <v>52</v>
      </c>
      <c r="G79" s="61">
        <v>223.54</v>
      </c>
      <c r="H79" s="53">
        <f t="shared" si="9"/>
        <v>286.31559198822163</v>
      </c>
      <c r="I79" s="61">
        <f>E79*H79</f>
        <v>2004.2091439175515</v>
      </c>
      <c r="J79" s="97"/>
      <c r="K79" s="238">
        <f t="shared" si="11"/>
        <v>1.5228467263546199E-4</v>
      </c>
      <c r="L79" s="1"/>
      <c r="M79" s="1"/>
      <c r="N79" s="1"/>
      <c r="O79" s="1"/>
      <c r="P79" s="1"/>
      <c r="Q79" s="1"/>
      <c r="R79" s="1"/>
      <c r="S79" s="1"/>
      <c r="T79" s="1"/>
      <c r="U79" s="1"/>
      <c r="V79" s="1"/>
      <c r="W79" s="1"/>
      <c r="X79" s="1"/>
    </row>
    <row r="80" spans="1:24" ht="25.5" customHeight="1" x14ac:dyDescent="0.2">
      <c r="A80" s="60" t="s">
        <v>384</v>
      </c>
      <c r="B80" s="127" t="s">
        <v>429</v>
      </c>
      <c r="C80" s="128" t="s">
        <v>848</v>
      </c>
      <c r="D80" s="131" t="s">
        <v>553</v>
      </c>
      <c r="E80" s="139">
        <f>'Memória de Cálculo'!J1003</f>
        <v>7</v>
      </c>
      <c r="F80" s="60" t="s">
        <v>52</v>
      </c>
      <c r="G80" s="61">
        <v>598.63</v>
      </c>
      <c r="H80" s="53">
        <f t="shared" si="9"/>
        <v>766.7401933967484</v>
      </c>
      <c r="I80" s="61">
        <f>E80*H80</f>
        <v>5367.1813537772387</v>
      </c>
      <c r="J80" s="97"/>
      <c r="K80" s="238">
        <f t="shared" si="11"/>
        <v>4.0781145915615375E-4</v>
      </c>
      <c r="L80" s="1"/>
      <c r="M80" s="1"/>
      <c r="N80" s="1"/>
      <c r="O80" s="1"/>
      <c r="P80" s="1"/>
      <c r="Q80" s="1"/>
      <c r="R80" s="1"/>
      <c r="S80" s="1"/>
      <c r="T80" s="1"/>
      <c r="U80" s="1"/>
      <c r="V80" s="1"/>
      <c r="W80" s="1"/>
      <c r="X80" s="1"/>
    </row>
    <row r="81" spans="1:24" ht="25.5" customHeight="1" x14ac:dyDescent="0.2">
      <c r="A81" s="60" t="s">
        <v>428</v>
      </c>
      <c r="B81" s="127" t="s">
        <v>261</v>
      </c>
      <c r="C81" s="128" t="s">
        <v>848</v>
      </c>
      <c r="D81" s="132" t="s">
        <v>554</v>
      </c>
      <c r="E81" s="139">
        <f>'Memória de Cálculo'!J1022</f>
        <v>112</v>
      </c>
      <c r="F81" s="60" t="s">
        <v>52</v>
      </c>
      <c r="G81" s="61">
        <v>239.43</v>
      </c>
      <c r="H81" s="53">
        <f t="shared" si="9"/>
        <v>306.66789921150536</v>
      </c>
      <c r="I81" s="61">
        <f t="shared" si="10"/>
        <v>34346.804711688601</v>
      </c>
      <c r="J81" s="97"/>
      <c r="K81" s="238">
        <f t="shared" si="11"/>
        <v>2.6097535416736988E-3</v>
      </c>
      <c r="L81" s="1"/>
      <c r="M81" s="1"/>
      <c r="N81" s="1"/>
      <c r="O81" s="1"/>
      <c r="P81" s="1"/>
      <c r="Q81" s="1"/>
      <c r="R81" s="1"/>
      <c r="S81" s="1"/>
      <c r="T81" s="1"/>
      <c r="U81" s="1"/>
      <c r="V81" s="1"/>
      <c r="W81" s="1"/>
      <c r="X81" s="1"/>
    </row>
    <row r="82" spans="1:24" ht="16.5" customHeight="1" x14ac:dyDescent="0.2">
      <c r="A82" s="269" t="s">
        <v>16</v>
      </c>
      <c r="B82" s="266"/>
      <c r="C82" s="266"/>
      <c r="D82" s="299"/>
      <c r="E82" s="266"/>
      <c r="F82" s="266"/>
      <c r="G82" s="266"/>
      <c r="H82" s="266"/>
      <c r="I82" s="56">
        <f>SUM(I67:I81)</f>
        <v>408786.04258891247</v>
      </c>
      <c r="J82" s="97"/>
      <c r="K82" s="1"/>
      <c r="L82" s="1"/>
      <c r="M82" s="1"/>
      <c r="N82" s="1"/>
      <c r="O82" s="1"/>
      <c r="P82" s="1"/>
      <c r="Q82" s="1"/>
      <c r="R82" s="1"/>
      <c r="S82" s="1"/>
      <c r="T82" s="1"/>
      <c r="U82" s="1"/>
      <c r="V82" s="1"/>
      <c r="W82" s="1"/>
      <c r="X82" s="1"/>
    </row>
    <row r="83" spans="1:24" ht="16.5" customHeight="1" x14ac:dyDescent="0.2">
      <c r="A83" s="57">
        <v>11</v>
      </c>
      <c r="B83" s="58"/>
      <c r="C83" s="58"/>
      <c r="D83" s="242" t="s">
        <v>262</v>
      </c>
      <c r="E83" s="59"/>
      <c r="F83" s="59"/>
      <c r="G83" s="59"/>
      <c r="H83" s="59"/>
      <c r="I83" s="59"/>
      <c r="J83" s="97"/>
      <c r="K83" s="1"/>
      <c r="L83" s="1"/>
      <c r="M83" s="1"/>
      <c r="N83" s="1"/>
      <c r="O83" s="1"/>
      <c r="P83" s="1"/>
      <c r="Q83" s="1"/>
      <c r="R83" s="1"/>
      <c r="S83" s="1"/>
      <c r="T83" s="1"/>
      <c r="U83" s="1"/>
      <c r="V83" s="1"/>
      <c r="W83" s="1"/>
      <c r="X83" s="1"/>
    </row>
    <row r="84" spans="1:24" ht="25.5" customHeight="1" x14ac:dyDescent="0.2">
      <c r="A84" s="60" t="s">
        <v>51</v>
      </c>
      <c r="B84" s="127" t="s">
        <v>263</v>
      </c>
      <c r="C84" s="128" t="s">
        <v>848</v>
      </c>
      <c r="D84" s="132" t="s">
        <v>555</v>
      </c>
      <c r="E84" s="139">
        <f>'Memória de Cálculo'!J1042</f>
        <v>133</v>
      </c>
      <c r="F84" s="60" t="s">
        <v>52</v>
      </c>
      <c r="G84" s="61">
        <v>909.41</v>
      </c>
      <c r="H84" s="53">
        <f t="shared" ref="H84:H89" si="12">G84*(1+$H$6)</f>
        <v>1164.7949472578002</v>
      </c>
      <c r="I84" s="61">
        <f t="shared" ref="I84:I89" si="13">E84*H84</f>
        <v>154917.72798528743</v>
      </c>
      <c r="J84" s="97"/>
      <c r="K84" s="238">
        <f t="shared" ref="K84:K89" si="14">I84/$I$186</f>
        <v>1.177102477716245E-2</v>
      </c>
      <c r="L84" s="1"/>
      <c r="M84" s="1"/>
      <c r="N84" s="1"/>
      <c r="O84" s="1"/>
      <c r="P84" s="1"/>
      <c r="Q84" s="1"/>
      <c r="R84" s="1"/>
      <c r="S84" s="1"/>
      <c r="T84" s="1"/>
      <c r="U84" s="1"/>
      <c r="V84" s="1"/>
      <c r="W84" s="1"/>
      <c r="X84" s="1"/>
    </row>
    <row r="85" spans="1:24" ht="25.5" customHeight="1" x14ac:dyDescent="0.2">
      <c r="A85" s="186" t="s">
        <v>53</v>
      </c>
      <c r="B85" s="187" t="s">
        <v>854</v>
      </c>
      <c r="C85" s="128" t="s">
        <v>848</v>
      </c>
      <c r="D85" s="188" t="s">
        <v>556</v>
      </c>
      <c r="E85" s="189">
        <f>'Memória de Cálculo'!J1060</f>
        <v>315</v>
      </c>
      <c r="F85" s="186" t="s">
        <v>52</v>
      </c>
      <c r="G85" s="190">
        <v>849.29</v>
      </c>
      <c r="H85" s="191">
        <f t="shared" si="12"/>
        <v>1087.7917559259049</v>
      </c>
      <c r="I85" s="190">
        <f t="shared" si="13"/>
        <v>342654.40311666002</v>
      </c>
      <c r="J85" s="97"/>
      <c r="K85" s="238">
        <f t="shared" si="14"/>
        <v>2.6035712771833756E-2</v>
      </c>
      <c r="L85" s="1"/>
      <c r="M85" s="1"/>
      <c r="N85" s="1"/>
      <c r="O85" s="1"/>
      <c r="P85" s="1"/>
      <c r="Q85" s="1"/>
      <c r="R85" s="1"/>
      <c r="S85" s="1"/>
      <c r="T85" s="1"/>
      <c r="U85" s="1"/>
      <c r="V85" s="1"/>
      <c r="W85" s="1"/>
      <c r="X85" s="1"/>
    </row>
    <row r="86" spans="1:24" ht="25.5" customHeight="1" x14ac:dyDescent="0.2">
      <c r="A86" s="186" t="s">
        <v>54</v>
      </c>
      <c r="B86" s="187" t="s">
        <v>356</v>
      </c>
      <c r="C86" s="231" t="s">
        <v>848</v>
      </c>
      <c r="D86" s="232" t="s">
        <v>557</v>
      </c>
      <c r="E86" s="189">
        <f>'Memória de Cálculo'!J1064</f>
        <v>16.170000000000002</v>
      </c>
      <c r="F86" s="186" t="s">
        <v>173</v>
      </c>
      <c r="G86" s="190">
        <v>390.7</v>
      </c>
      <c r="H86" s="191">
        <f t="shared" si="12"/>
        <v>500.41827766752345</v>
      </c>
      <c r="I86" s="190">
        <f t="shared" si="13"/>
        <v>8091.7635498838554</v>
      </c>
      <c r="J86" s="97"/>
      <c r="K86" s="238">
        <f t="shared" si="14"/>
        <v>6.148318238030744E-4</v>
      </c>
      <c r="L86" s="1"/>
      <c r="M86" s="1"/>
      <c r="N86" s="1"/>
      <c r="O86" s="1"/>
      <c r="P86" s="1"/>
      <c r="Q86" s="1"/>
      <c r="R86" s="1"/>
      <c r="S86" s="1"/>
      <c r="T86" s="1"/>
      <c r="U86" s="1"/>
      <c r="V86" s="1"/>
      <c r="W86" s="1"/>
      <c r="X86" s="1"/>
    </row>
    <row r="87" spans="1:24" ht="25.5" customHeight="1" x14ac:dyDescent="0.2">
      <c r="A87" s="60" t="s">
        <v>273</v>
      </c>
      <c r="B87" s="127" t="s">
        <v>357</v>
      </c>
      <c r="C87" s="128" t="s">
        <v>848</v>
      </c>
      <c r="D87" s="132" t="s">
        <v>558</v>
      </c>
      <c r="E87" s="139">
        <f>'Memória de Cálculo'!J1099</f>
        <v>725.7600000000001</v>
      </c>
      <c r="F87" s="60" t="s">
        <v>173</v>
      </c>
      <c r="G87" s="61">
        <v>533.77</v>
      </c>
      <c r="H87" s="53">
        <f t="shared" si="12"/>
        <v>683.66589216942407</v>
      </c>
      <c r="I87" s="61">
        <f t="shared" si="13"/>
        <v>496177.35790088127</v>
      </c>
      <c r="J87" s="97"/>
      <c r="K87" s="238">
        <f t="shared" si="14"/>
        <v>3.7700759297689609E-2</v>
      </c>
      <c r="L87" s="1"/>
      <c r="M87" s="1"/>
      <c r="N87" s="1"/>
      <c r="O87" s="1"/>
      <c r="P87" s="1"/>
      <c r="Q87" s="1"/>
      <c r="R87" s="1"/>
      <c r="S87" s="1"/>
      <c r="T87" s="1"/>
      <c r="U87" s="1"/>
      <c r="V87" s="1"/>
      <c r="W87" s="1"/>
      <c r="X87" s="1"/>
    </row>
    <row r="88" spans="1:24" ht="25.5" customHeight="1" x14ac:dyDescent="0.2">
      <c r="A88" s="60" t="s">
        <v>274</v>
      </c>
      <c r="B88" s="127" t="s">
        <v>358</v>
      </c>
      <c r="C88" s="128" t="s">
        <v>848</v>
      </c>
      <c r="D88" s="132" t="s">
        <v>559</v>
      </c>
      <c r="E88" s="139">
        <f>'Memória de Cálculo'!J1121</f>
        <v>154.56000000000003</v>
      </c>
      <c r="F88" s="60" t="s">
        <v>173</v>
      </c>
      <c r="G88" s="61">
        <v>373.72</v>
      </c>
      <c r="H88" s="53">
        <f t="shared" si="12"/>
        <v>478.66987133326563</v>
      </c>
      <c r="I88" s="61">
        <f t="shared" si="13"/>
        <v>73983.215313269553</v>
      </c>
      <c r="J88" s="97"/>
      <c r="K88" s="238">
        <f t="shared" si="14"/>
        <v>5.6214241705723053E-3</v>
      </c>
      <c r="L88" s="1"/>
      <c r="M88" s="1"/>
      <c r="N88" s="1"/>
      <c r="O88" s="1"/>
      <c r="P88" s="1"/>
      <c r="Q88" s="1"/>
      <c r="R88" s="1"/>
      <c r="S88" s="1"/>
      <c r="T88" s="1"/>
      <c r="U88" s="1"/>
      <c r="V88" s="1"/>
      <c r="W88" s="1"/>
      <c r="X88" s="1"/>
    </row>
    <row r="89" spans="1:24" ht="25.5" customHeight="1" x14ac:dyDescent="0.2">
      <c r="A89" s="74" t="s">
        <v>275</v>
      </c>
      <c r="B89" s="172" t="s">
        <v>359</v>
      </c>
      <c r="C89" s="128" t="s">
        <v>848</v>
      </c>
      <c r="D89" s="174" t="s">
        <v>560</v>
      </c>
      <c r="E89" s="145">
        <f>'Memória de Cálculo'!J1175</f>
        <v>880.32</v>
      </c>
      <c r="F89" s="60" t="s">
        <v>173</v>
      </c>
      <c r="G89" s="61">
        <v>167.92</v>
      </c>
      <c r="H89" s="53">
        <f t="shared" si="12"/>
        <v>215.07611258236636</v>
      </c>
      <c r="I89" s="61">
        <f t="shared" si="13"/>
        <v>189335.80342850878</v>
      </c>
      <c r="J89" s="97"/>
      <c r="K89" s="238">
        <f t="shared" si="14"/>
        <v>1.438619364190904E-2</v>
      </c>
      <c r="L89" s="1"/>
      <c r="M89" s="1"/>
      <c r="N89" s="1"/>
      <c r="O89" s="1"/>
      <c r="P89" s="1"/>
      <c r="Q89" s="1"/>
      <c r="R89" s="1"/>
      <c r="S89" s="1"/>
      <c r="T89" s="1"/>
      <c r="U89" s="1"/>
      <c r="V89" s="1"/>
      <c r="W89" s="1"/>
      <c r="X89" s="1"/>
    </row>
    <row r="90" spans="1:24" ht="16.5" customHeight="1" x14ac:dyDescent="0.2">
      <c r="A90" s="269" t="s">
        <v>16</v>
      </c>
      <c r="B90" s="266"/>
      <c r="C90" s="266"/>
      <c r="D90" s="299"/>
      <c r="E90" s="266"/>
      <c r="F90" s="266"/>
      <c r="G90" s="266"/>
      <c r="H90" s="266"/>
      <c r="I90" s="56">
        <f>SUM(I84:I89)</f>
        <v>1265160.2712944909</v>
      </c>
      <c r="J90" s="97"/>
      <c r="K90" s="1"/>
      <c r="L90" s="1"/>
      <c r="M90" s="1"/>
      <c r="N90" s="1"/>
      <c r="O90" s="1"/>
      <c r="P90" s="1"/>
      <c r="Q90" s="1"/>
      <c r="R90" s="1"/>
      <c r="S90" s="1"/>
      <c r="T90" s="1"/>
      <c r="U90" s="1"/>
      <c r="V90" s="1"/>
      <c r="W90" s="1"/>
      <c r="X90" s="1"/>
    </row>
    <row r="91" spans="1:24" ht="16.5" customHeight="1" x14ac:dyDescent="0.2">
      <c r="A91" s="57">
        <v>12</v>
      </c>
      <c r="B91" s="58"/>
      <c r="C91" s="58"/>
      <c r="D91" s="242" t="s">
        <v>43</v>
      </c>
      <c r="E91" s="59"/>
      <c r="F91" s="59"/>
      <c r="G91" s="59"/>
      <c r="H91" s="59"/>
      <c r="I91" s="59"/>
      <c r="J91" s="97"/>
      <c r="K91" s="1"/>
      <c r="L91" s="1"/>
      <c r="M91" s="1"/>
      <c r="N91" s="1"/>
      <c r="O91" s="1"/>
      <c r="P91" s="1"/>
      <c r="Q91" s="1"/>
      <c r="R91" s="1"/>
      <c r="S91" s="1"/>
      <c r="T91" s="1"/>
      <c r="U91" s="1"/>
      <c r="V91" s="1"/>
      <c r="W91" s="1"/>
      <c r="X91" s="1"/>
    </row>
    <row r="92" spans="1:24" ht="25.5" customHeight="1" x14ac:dyDescent="0.2">
      <c r="A92" s="50" t="s">
        <v>56</v>
      </c>
      <c r="B92" s="127" t="s">
        <v>264</v>
      </c>
      <c r="C92" s="128" t="s">
        <v>848</v>
      </c>
      <c r="D92" s="131" t="s">
        <v>561</v>
      </c>
      <c r="E92" s="138">
        <f>'Memória de Cálculo'!J1257</f>
        <v>25247.903800000007</v>
      </c>
      <c r="F92" s="60" t="s">
        <v>173</v>
      </c>
      <c r="G92" s="52">
        <v>5.74</v>
      </c>
      <c r="H92" s="53">
        <f t="shared" ref="H92:H96" si="15">G92*(1+$H$6)</f>
        <v>7.3519347678822244</v>
      </c>
      <c r="I92" s="52">
        <f t="shared" ref="I92:I96" si="16">E92*H92</f>
        <v>185620.94176336579</v>
      </c>
      <c r="J92" s="97"/>
      <c r="K92" s="238">
        <f>I92/$I$186</f>
        <v>1.410392944095018E-2</v>
      </c>
      <c r="L92" s="1"/>
      <c r="M92" s="1"/>
      <c r="N92" s="1"/>
      <c r="O92" s="1"/>
      <c r="P92" s="1"/>
      <c r="Q92" s="1"/>
      <c r="R92" s="1"/>
      <c r="S92" s="1"/>
      <c r="T92" s="1"/>
      <c r="U92" s="1"/>
      <c r="V92" s="1"/>
      <c r="W92" s="1"/>
      <c r="X92" s="1"/>
    </row>
    <row r="93" spans="1:24" ht="25.5" customHeight="1" x14ac:dyDescent="0.2">
      <c r="A93" s="50" t="s">
        <v>227</v>
      </c>
      <c r="B93" s="127" t="s">
        <v>265</v>
      </c>
      <c r="C93" s="128" t="s">
        <v>848</v>
      </c>
      <c r="D93" s="132" t="s">
        <v>562</v>
      </c>
      <c r="E93" s="139">
        <f>'Memória de Cálculo'!J1338</f>
        <v>25279.89520000001</v>
      </c>
      <c r="F93" s="60" t="s">
        <v>173</v>
      </c>
      <c r="G93" s="61">
        <v>14.14</v>
      </c>
      <c r="H93" s="53">
        <f t="shared" si="15"/>
        <v>18.110863696490355</v>
      </c>
      <c r="I93" s="61">
        <f t="shared" si="16"/>
        <v>457840.73622876097</v>
      </c>
      <c r="J93" s="97"/>
      <c r="K93" s="238">
        <f>I93/$I$186</f>
        <v>3.4787849784724843E-2</v>
      </c>
      <c r="L93" s="1"/>
      <c r="M93" s="1"/>
      <c r="N93" s="1"/>
      <c r="O93" s="1"/>
      <c r="P93" s="1"/>
      <c r="Q93" s="1"/>
      <c r="R93" s="1"/>
      <c r="S93" s="1"/>
      <c r="T93" s="1"/>
      <c r="U93" s="1"/>
      <c r="V93" s="1"/>
      <c r="W93" s="1"/>
      <c r="X93" s="1"/>
    </row>
    <row r="94" spans="1:24" ht="25.5" customHeight="1" x14ac:dyDescent="0.2">
      <c r="A94" s="50" t="s">
        <v>228</v>
      </c>
      <c r="B94" s="127" t="s">
        <v>266</v>
      </c>
      <c r="C94" s="128" t="s">
        <v>848</v>
      </c>
      <c r="D94" s="132" t="s">
        <v>563</v>
      </c>
      <c r="E94" s="139">
        <f>'Memória de Cálculo'!J1361</f>
        <v>5007.5199999999986</v>
      </c>
      <c r="F94" s="60" t="s">
        <v>173</v>
      </c>
      <c r="G94" s="61">
        <v>15.6</v>
      </c>
      <c r="H94" s="53">
        <f t="shared" si="15"/>
        <v>19.980868010272246</v>
      </c>
      <c r="I94" s="61">
        <f t="shared" si="16"/>
        <v>100054.59617879846</v>
      </c>
      <c r="J94" s="97"/>
      <c r="K94" s="238">
        <f>I94/$I$186</f>
        <v>7.6023909336023236E-3</v>
      </c>
      <c r="L94" s="1"/>
      <c r="M94" s="1"/>
      <c r="N94" s="1"/>
      <c r="O94" s="1"/>
      <c r="P94" s="1"/>
      <c r="Q94" s="1"/>
      <c r="R94" s="1"/>
      <c r="S94" s="1"/>
      <c r="T94" s="1"/>
      <c r="U94" s="1"/>
      <c r="V94" s="1"/>
      <c r="W94" s="1"/>
      <c r="X94" s="1"/>
    </row>
    <row r="95" spans="1:24" ht="25.5" customHeight="1" x14ac:dyDescent="0.2">
      <c r="A95" s="50" t="s">
        <v>58</v>
      </c>
      <c r="B95" s="127" t="s">
        <v>315</v>
      </c>
      <c r="C95" s="128" t="s">
        <v>848</v>
      </c>
      <c r="D95" s="132" t="s">
        <v>564</v>
      </c>
      <c r="E95" s="139">
        <f>'Memória de Cálculo'!J1395</f>
        <v>1372.98</v>
      </c>
      <c r="F95" s="60" t="s">
        <v>173</v>
      </c>
      <c r="G95" s="61">
        <v>21.9</v>
      </c>
      <c r="H95" s="53">
        <f t="shared" si="15"/>
        <v>28.050064706728342</v>
      </c>
      <c r="I95" s="61">
        <f t="shared" si="16"/>
        <v>38512.177841043878</v>
      </c>
      <c r="J95" s="97"/>
      <c r="K95" s="238">
        <f>I95/$I$186</f>
        <v>2.926248696549867E-3</v>
      </c>
      <c r="L95" s="1"/>
      <c r="M95" s="1"/>
      <c r="N95" s="1"/>
      <c r="O95" s="1"/>
      <c r="P95" s="1"/>
      <c r="Q95" s="1"/>
      <c r="R95" s="1"/>
      <c r="S95" s="1"/>
      <c r="T95" s="1"/>
      <c r="U95" s="1"/>
      <c r="V95" s="1"/>
      <c r="W95" s="1"/>
      <c r="X95" s="1"/>
    </row>
    <row r="96" spans="1:24" ht="25.5" customHeight="1" x14ac:dyDescent="0.2">
      <c r="A96" s="50" t="s">
        <v>59</v>
      </c>
      <c r="B96" s="127" t="s">
        <v>385</v>
      </c>
      <c r="C96" s="128" t="s">
        <v>848</v>
      </c>
      <c r="D96" s="131" t="s">
        <v>565</v>
      </c>
      <c r="E96" s="139">
        <f>'Memória de Cálculo'!J1449</f>
        <v>880.32</v>
      </c>
      <c r="F96" s="60" t="s">
        <v>173</v>
      </c>
      <c r="G96" s="61">
        <v>31.93</v>
      </c>
      <c r="H96" s="53">
        <f t="shared" si="15"/>
        <v>40.896738177435438</v>
      </c>
      <c r="I96" s="61">
        <f t="shared" si="16"/>
        <v>36002.216552359969</v>
      </c>
      <c r="J96" s="97"/>
      <c r="K96" s="238">
        <f>I96/$I$186</f>
        <v>2.7355357490838239E-3</v>
      </c>
      <c r="L96" s="1"/>
      <c r="M96" s="1"/>
      <c r="N96" s="1"/>
      <c r="O96" s="1"/>
      <c r="P96" s="1"/>
      <c r="Q96" s="1"/>
      <c r="R96" s="1"/>
      <c r="S96" s="1"/>
      <c r="T96" s="1"/>
      <c r="U96" s="1"/>
      <c r="V96" s="1"/>
      <c r="W96" s="1"/>
      <c r="X96" s="1"/>
    </row>
    <row r="97" spans="1:24" ht="16.5" customHeight="1" x14ac:dyDescent="0.2">
      <c r="A97" s="269" t="s">
        <v>16</v>
      </c>
      <c r="B97" s="266"/>
      <c r="C97" s="266"/>
      <c r="D97" s="266"/>
      <c r="E97" s="266"/>
      <c r="F97" s="266"/>
      <c r="G97" s="266"/>
      <c r="H97" s="266"/>
      <c r="I97" s="56">
        <f>SUM(I92:I96)</f>
        <v>818030.66856432916</v>
      </c>
      <c r="J97" s="97"/>
      <c r="K97" s="1"/>
      <c r="L97" s="1"/>
      <c r="M97" s="1"/>
      <c r="N97" s="1"/>
      <c r="O97" s="1"/>
      <c r="P97" s="1"/>
      <c r="Q97" s="1"/>
      <c r="R97" s="1"/>
      <c r="S97" s="1"/>
      <c r="T97" s="1"/>
      <c r="U97" s="1"/>
      <c r="V97" s="1"/>
      <c r="W97" s="1"/>
      <c r="X97" s="1"/>
    </row>
    <row r="98" spans="1:24" ht="16.5" customHeight="1" x14ac:dyDescent="0.2">
      <c r="A98" s="57">
        <v>13</v>
      </c>
      <c r="B98" s="58"/>
      <c r="C98" s="58"/>
      <c r="D98" s="242" t="s">
        <v>50</v>
      </c>
      <c r="E98" s="59"/>
      <c r="F98" s="59"/>
      <c r="G98" s="59"/>
      <c r="H98" s="59"/>
      <c r="I98" s="59"/>
      <c r="J98" s="97"/>
      <c r="K98" s="1"/>
      <c r="L98" s="1"/>
      <c r="M98" s="1"/>
      <c r="N98" s="1"/>
      <c r="O98" s="1"/>
      <c r="P98" s="1"/>
      <c r="Q98" s="1"/>
      <c r="R98" s="1"/>
      <c r="S98" s="1"/>
      <c r="T98" s="1"/>
      <c r="U98" s="1"/>
      <c r="V98" s="1"/>
      <c r="W98" s="1"/>
      <c r="X98" s="1"/>
    </row>
    <row r="99" spans="1:24" ht="38.25" x14ac:dyDescent="0.2">
      <c r="A99" s="50" t="s">
        <v>66</v>
      </c>
      <c r="B99" s="127" t="s">
        <v>282</v>
      </c>
      <c r="C99" s="128" t="s">
        <v>848</v>
      </c>
      <c r="D99" s="131" t="s">
        <v>566</v>
      </c>
      <c r="E99" s="138">
        <f>'Memória de Cálculo'!J1469</f>
        <v>336</v>
      </c>
      <c r="F99" s="60" t="s">
        <v>52</v>
      </c>
      <c r="G99" s="52">
        <v>124.25</v>
      </c>
      <c r="H99" s="53">
        <f t="shared" ref="H99:H111" si="17">G99*(1+$H$6)</f>
        <v>159.14249040232863</v>
      </c>
      <c r="I99" s="52">
        <f t="shared" ref="I99:I111" si="18">E99*H99</f>
        <v>53471.87677518242</v>
      </c>
      <c r="J99" s="97"/>
      <c r="K99" s="238">
        <f t="shared" ref="K99:K111" si="19">I99/$I$186</f>
        <v>4.0629229113263634E-3</v>
      </c>
      <c r="L99" s="1"/>
      <c r="M99" s="1"/>
      <c r="N99" s="1"/>
      <c r="O99" s="1"/>
      <c r="P99" s="1"/>
      <c r="Q99" s="1"/>
      <c r="R99" s="1"/>
      <c r="S99" s="1"/>
      <c r="T99" s="1"/>
      <c r="U99" s="1"/>
      <c r="V99" s="1"/>
      <c r="W99" s="1"/>
      <c r="X99" s="1"/>
    </row>
    <row r="100" spans="1:24" ht="25.5" customHeight="1" x14ac:dyDescent="0.2">
      <c r="A100" s="50" t="s">
        <v>68</v>
      </c>
      <c r="B100" s="127" t="s">
        <v>284</v>
      </c>
      <c r="C100" s="128" t="s">
        <v>848</v>
      </c>
      <c r="D100" s="131" t="s">
        <v>567</v>
      </c>
      <c r="E100" s="138">
        <f>'Memória de Cálculo'!J1488</f>
        <v>336</v>
      </c>
      <c r="F100" s="60" t="s">
        <v>52</v>
      </c>
      <c r="G100" s="52">
        <v>80.599999999999994</v>
      </c>
      <c r="H100" s="53">
        <f t="shared" si="17"/>
        <v>103.23448471973992</v>
      </c>
      <c r="I100" s="52">
        <f t="shared" si="18"/>
        <v>34686.786865832612</v>
      </c>
      <c r="J100" s="97"/>
      <c r="K100" s="238">
        <f t="shared" si="19"/>
        <v>2.6355862104861555E-3</v>
      </c>
      <c r="L100" s="1"/>
      <c r="M100" s="1"/>
      <c r="N100" s="1"/>
      <c r="O100" s="1"/>
      <c r="P100" s="1"/>
      <c r="Q100" s="1"/>
      <c r="R100" s="1"/>
      <c r="S100" s="1"/>
      <c r="T100" s="1"/>
      <c r="U100" s="1"/>
      <c r="V100" s="1"/>
      <c r="W100" s="1"/>
      <c r="X100" s="1"/>
    </row>
    <row r="101" spans="1:24" ht="25.5" customHeight="1" x14ac:dyDescent="0.2">
      <c r="A101" s="50" t="s">
        <v>71</v>
      </c>
      <c r="B101" s="127" t="s">
        <v>285</v>
      </c>
      <c r="C101" s="128" t="s">
        <v>848</v>
      </c>
      <c r="D101" s="131" t="s">
        <v>568</v>
      </c>
      <c r="E101" s="138">
        <f>'Memória de Cálculo'!J1507</f>
        <v>112</v>
      </c>
      <c r="F101" s="60" t="s">
        <v>52</v>
      </c>
      <c r="G101" s="52">
        <v>82.65</v>
      </c>
      <c r="H101" s="53">
        <f t="shared" si="17"/>
        <v>105.86017570826931</v>
      </c>
      <c r="I101" s="52">
        <f t="shared" si="18"/>
        <v>11856.339679326164</v>
      </c>
      <c r="J101" s="97"/>
      <c r="K101" s="238">
        <f t="shared" si="19"/>
        <v>9.0087345035848147E-4</v>
      </c>
      <c r="L101" s="1"/>
      <c r="M101" s="1"/>
      <c r="N101" s="1"/>
      <c r="O101" s="1"/>
      <c r="P101" s="1"/>
      <c r="Q101" s="1"/>
      <c r="R101" s="1"/>
      <c r="S101" s="1"/>
      <c r="T101" s="1"/>
      <c r="U101" s="1"/>
      <c r="V101" s="1"/>
      <c r="W101" s="1"/>
      <c r="X101" s="1"/>
    </row>
    <row r="102" spans="1:24" ht="25.5" customHeight="1" x14ac:dyDescent="0.2">
      <c r="A102" s="50" t="s">
        <v>78</v>
      </c>
      <c r="B102" s="127" t="s">
        <v>287</v>
      </c>
      <c r="C102" s="128" t="s">
        <v>848</v>
      </c>
      <c r="D102" s="140" t="s">
        <v>569</v>
      </c>
      <c r="E102" s="138">
        <f>'Memória de Cálculo'!J1526</f>
        <v>224</v>
      </c>
      <c r="F102" s="60" t="s">
        <v>52</v>
      </c>
      <c r="G102" s="52">
        <v>24.19</v>
      </c>
      <c r="H102" s="53">
        <f t="shared" si="17"/>
        <v>30.983153664646515</v>
      </c>
      <c r="I102" s="52">
        <f t="shared" si="18"/>
        <v>6940.2264208808192</v>
      </c>
      <c r="J102" s="97"/>
      <c r="K102" s="238">
        <f t="shared" si="19"/>
        <v>5.273352393023996E-4</v>
      </c>
      <c r="L102" s="1"/>
      <c r="M102" s="1"/>
      <c r="N102" s="1"/>
      <c r="O102" s="1"/>
      <c r="P102" s="1"/>
      <c r="Q102" s="1"/>
      <c r="R102" s="1"/>
      <c r="S102" s="1"/>
      <c r="T102" s="1"/>
      <c r="U102" s="1"/>
      <c r="V102" s="1"/>
      <c r="W102" s="1"/>
      <c r="X102" s="1"/>
    </row>
    <row r="103" spans="1:24" ht="25.5" customHeight="1" x14ac:dyDescent="0.2">
      <c r="A103" s="50" t="s">
        <v>276</v>
      </c>
      <c r="B103" s="172" t="s">
        <v>332</v>
      </c>
      <c r="C103" s="128" t="s">
        <v>848</v>
      </c>
      <c r="D103" s="131" t="s">
        <v>570</v>
      </c>
      <c r="E103" s="173">
        <f>'Memória de Cálculo'!J1545</f>
        <v>112</v>
      </c>
      <c r="F103" s="60" t="s">
        <v>52</v>
      </c>
      <c r="G103" s="52">
        <v>622.97</v>
      </c>
      <c r="H103" s="53">
        <f t="shared" si="17"/>
        <v>797.91547079226291</v>
      </c>
      <c r="I103" s="85">
        <f t="shared" si="18"/>
        <v>89366.532728733451</v>
      </c>
      <c r="J103" s="97"/>
      <c r="K103" s="238">
        <f t="shared" si="19"/>
        <v>6.7902859451884233E-3</v>
      </c>
      <c r="L103" s="1"/>
      <c r="M103" s="1"/>
      <c r="N103" s="1"/>
      <c r="O103" s="1"/>
      <c r="P103" s="1"/>
      <c r="Q103" s="1"/>
      <c r="R103" s="1"/>
      <c r="S103" s="1"/>
      <c r="T103" s="1"/>
      <c r="U103" s="1"/>
      <c r="V103" s="1"/>
      <c r="W103" s="1"/>
      <c r="X103" s="1"/>
    </row>
    <row r="104" spans="1:24" ht="25.5" customHeight="1" x14ac:dyDescent="0.2">
      <c r="A104" s="50" t="s">
        <v>316</v>
      </c>
      <c r="B104" s="127" t="s">
        <v>336</v>
      </c>
      <c r="C104" s="128" t="s">
        <v>848</v>
      </c>
      <c r="D104" s="131" t="s">
        <v>571</v>
      </c>
      <c r="E104" s="138">
        <f>'Memória de Cálculo'!J1564</f>
        <v>112</v>
      </c>
      <c r="F104" s="60" t="s">
        <v>52</v>
      </c>
      <c r="G104" s="52">
        <v>368.48</v>
      </c>
      <c r="H104" s="53">
        <f t="shared" si="17"/>
        <v>471.95834900161009</v>
      </c>
      <c r="I104" s="52">
        <f t="shared" si="18"/>
        <v>52859.335088180327</v>
      </c>
      <c r="J104" s="97"/>
      <c r="K104" s="238">
        <f t="shared" si="19"/>
        <v>4.0163805080229067E-3</v>
      </c>
      <c r="L104" s="1"/>
      <c r="M104" s="1"/>
      <c r="N104" s="1"/>
      <c r="O104" s="1"/>
      <c r="P104" s="1"/>
      <c r="Q104" s="1"/>
      <c r="R104" s="1"/>
      <c r="S104" s="1"/>
      <c r="T104" s="1"/>
      <c r="U104" s="1"/>
      <c r="V104" s="1"/>
      <c r="W104" s="1"/>
      <c r="X104" s="1"/>
    </row>
    <row r="105" spans="1:24" ht="38.25" x14ac:dyDescent="0.2">
      <c r="A105" s="50" t="s">
        <v>386</v>
      </c>
      <c r="B105" s="127" t="s">
        <v>279</v>
      </c>
      <c r="C105" s="128" t="s">
        <v>848</v>
      </c>
      <c r="D105" s="131" t="s">
        <v>572</v>
      </c>
      <c r="E105" s="138">
        <f>'Memória de Cálculo'!J1583</f>
        <v>112</v>
      </c>
      <c r="F105" s="60" t="s">
        <v>52</v>
      </c>
      <c r="G105" s="52">
        <v>151.68</v>
      </c>
      <c r="H105" s="53">
        <f t="shared" si="17"/>
        <v>194.275516653724</v>
      </c>
      <c r="I105" s="52">
        <f t="shared" si="18"/>
        <v>21758.857865217087</v>
      </c>
      <c r="J105" s="97"/>
      <c r="K105" s="238">
        <f t="shared" si="19"/>
        <v>1.6532908039972711E-3</v>
      </c>
      <c r="L105" s="1"/>
      <c r="M105" s="1"/>
      <c r="N105" s="1"/>
      <c r="O105" s="1"/>
      <c r="P105" s="1"/>
      <c r="Q105" s="1"/>
      <c r="R105" s="1"/>
      <c r="S105" s="1"/>
      <c r="T105" s="1"/>
      <c r="U105" s="1"/>
      <c r="V105" s="1"/>
      <c r="W105" s="1"/>
      <c r="X105" s="1"/>
    </row>
    <row r="106" spans="1:24" ht="38.25" x14ac:dyDescent="0.2">
      <c r="A106" s="50" t="s">
        <v>387</v>
      </c>
      <c r="B106" s="127" t="s">
        <v>280</v>
      </c>
      <c r="C106" s="128" t="s">
        <v>848</v>
      </c>
      <c r="D106" s="131" t="s">
        <v>573</v>
      </c>
      <c r="E106" s="138">
        <f>'Memória de Cálculo'!J1603</f>
        <v>364</v>
      </c>
      <c r="F106" s="60" t="s">
        <v>52</v>
      </c>
      <c r="G106" s="52">
        <v>312.05</v>
      </c>
      <c r="H106" s="53">
        <f t="shared" si="17"/>
        <v>399.68140144906761</v>
      </c>
      <c r="I106" s="52">
        <f t="shared" si="18"/>
        <v>145484.0301274606</v>
      </c>
      <c r="J106" s="97"/>
      <c r="K106" s="238">
        <f t="shared" si="19"/>
        <v>1.1054229529330712E-2</v>
      </c>
      <c r="L106" s="1"/>
      <c r="M106" s="1"/>
      <c r="N106" s="1"/>
      <c r="O106" s="1"/>
      <c r="P106" s="1"/>
      <c r="Q106" s="1"/>
      <c r="R106" s="1"/>
      <c r="S106" s="1"/>
      <c r="T106" s="1"/>
      <c r="U106" s="1"/>
      <c r="V106" s="1"/>
      <c r="W106" s="1"/>
      <c r="X106" s="1"/>
    </row>
    <row r="107" spans="1:24" ht="38.25" x14ac:dyDescent="0.2">
      <c r="A107" s="50" t="s">
        <v>388</v>
      </c>
      <c r="B107" s="127" t="s">
        <v>281</v>
      </c>
      <c r="C107" s="128" t="s">
        <v>848</v>
      </c>
      <c r="D107" s="131" t="s">
        <v>574</v>
      </c>
      <c r="E107" s="138">
        <f>'Memória de Cálculo'!J1622</f>
        <v>1008</v>
      </c>
      <c r="F107" s="60" t="s">
        <v>52</v>
      </c>
      <c r="G107" s="52">
        <v>214.3</v>
      </c>
      <c r="H107" s="53">
        <f t="shared" si="17"/>
        <v>274.48077016675273</v>
      </c>
      <c r="I107" s="52">
        <f t="shared" si="18"/>
        <v>276676.61632808676</v>
      </c>
      <c r="J107" s="97"/>
      <c r="K107" s="238">
        <f t="shared" si="19"/>
        <v>2.1022560480416251E-2</v>
      </c>
      <c r="L107" s="1"/>
      <c r="M107" s="1"/>
      <c r="N107" s="1"/>
      <c r="O107" s="1"/>
      <c r="P107" s="1"/>
      <c r="Q107" s="1"/>
      <c r="R107" s="1"/>
      <c r="S107" s="1"/>
      <c r="T107" s="1"/>
      <c r="U107" s="1"/>
      <c r="V107" s="1"/>
      <c r="W107" s="1"/>
      <c r="X107" s="1"/>
    </row>
    <row r="108" spans="1:24" ht="25.5" customHeight="1" x14ac:dyDescent="0.2">
      <c r="A108" s="50" t="s">
        <v>389</v>
      </c>
      <c r="B108" s="127" t="s">
        <v>283</v>
      </c>
      <c r="C108" s="128" t="s">
        <v>848</v>
      </c>
      <c r="D108" s="140" t="s">
        <v>575</v>
      </c>
      <c r="E108" s="138">
        <f>'Memória de Cálculo'!J1641</f>
        <v>336</v>
      </c>
      <c r="F108" s="60" t="s">
        <v>52</v>
      </c>
      <c r="G108" s="52">
        <v>65.27</v>
      </c>
      <c r="H108" s="53">
        <f t="shared" si="17"/>
        <v>83.599439425030084</v>
      </c>
      <c r="I108" s="52">
        <f t="shared" si="18"/>
        <v>28089.411646810109</v>
      </c>
      <c r="J108" s="97"/>
      <c r="K108" s="238">
        <f t="shared" si="19"/>
        <v>2.1343016372013818E-3</v>
      </c>
      <c r="L108" s="1"/>
      <c r="M108" s="1"/>
      <c r="N108" s="1"/>
      <c r="O108" s="1"/>
      <c r="P108" s="1"/>
      <c r="Q108" s="1"/>
      <c r="R108" s="1"/>
      <c r="S108" s="1"/>
      <c r="T108" s="1"/>
      <c r="U108" s="1"/>
      <c r="V108" s="1"/>
      <c r="W108" s="1"/>
      <c r="X108" s="1"/>
    </row>
    <row r="109" spans="1:24" ht="25.5" customHeight="1" x14ac:dyDescent="0.2">
      <c r="A109" s="50" t="s">
        <v>390</v>
      </c>
      <c r="B109" s="127" t="s">
        <v>335</v>
      </c>
      <c r="C109" s="128" t="s">
        <v>848</v>
      </c>
      <c r="D109" s="140" t="s">
        <v>576</v>
      </c>
      <c r="E109" s="138">
        <f>'Memória de Cálculo'!J1660</f>
        <v>112</v>
      </c>
      <c r="F109" s="60" t="s">
        <v>52</v>
      </c>
      <c r="G109" s="52">
        <v>23.79</v>
      </c>
      <c r="H109" s="53">
        <f t="shared" si="17"/>
        <v>30.470823715665173</v>
      </c>
      <c r="I109" s="52">
        <f t="shared" si="18"/>
        <v>3412.7322561544993</v>
      </c>
      <c r="J109" s="97"/>
      <c r="K109" s="238">
        <f t="shared" si="19"/>
        <v>2.5930767554783145E-4</v>
      </c>
      <c r="L109" s="1"/>
      <c r="M109" s="1"/>
      <c r="N109" s="1"/>
      <c r="O109" s="1"/>
      <c r="P109" s="1"/>
      <c r="Q109" s="1"/>
      <c r="R109" s="1"/>
      <c r="S109" s="1"/>
      <c r="T109" s="1"/>
      <c r="U109" s="1"/>
      <c r="V109" s="1"/>
      <c r="W109" s="1"/>
      <c r="X109" s="1"/>
    </row>
    <row r="110" spans="1:24" ht="25.5" customHeight="1" x14ac:dyDescent="0.2">
      <c r="A110" s="50" t="s">
        <v>391</v>
      </c>
      <c r="B110" s="127" t="s">
        <v>333</v>
      </c>
      <c r="C110" s="128" t="s">
        <v>848</v>
      </c>
      <c r="D110" s="140" t="s">
        <v>577</v>
      </c>
      <c r="E110" s="138">
        <f>'Memória de Cálculo'!J1665</f>
        <v>518</v>
      </c>
      <c r="F110" s="68" t="s">
        <v>25</v>
      </c>
      <c r="G110" s="52">
        <v>44.18</v>
      </c>
      <c r="H110" s="53">
        <f t="shared" si="17"/>
        <v>56.586842864988959</v>
      </c>
      <c r="I110" s="52">
        <f t="shared" si="18"/>
        <v>29311.984604064281</v>
      </c>
      <c r="J110" s="97"/>
      <c r="K110" s="238">
        <f t="shared" si="19"/>
        <v>2.2271956962537733E-3</v>
      </c>
      <c r="L110" s="1"/>
      <c r="M110" s="1"/>
      <c r="N110" s="1"/>
      <c r="O110" s="1"/>
      <c r="P110" s="1"/>
      <c r="Q110" s="1"/>
      <c r="R110" s="1"/>
      <c r="S110" s="1"/>
      <c r="T110" s="1"/>
      <c r="U110" s="1"/>
      <c r="V110" s="1"/>
      <c r="W110" s="1"/>
      <c r="X110" s="1"/>
    </row>
    <row r="111" spans="1:24" ht="25.5" customHeight="1" x14ac:dyDescent="0.2">
      <c r="A111" s="50" t="s">
        <v>392</v>
      </c>
      <c r="B111" s="127" t="s">
        <v>286</v>
      </c>
      <c r="C111" s="128" t="s">
        <v>848</v>
      </c>
      <c r="D111" s="131" t="s">
        <v>578</v>
      </c>
      <c r="E111" s="138">
        <f>'Memória de Cálculo'!J1670</f>
        <v>70</v>
      </c>
      <c r="F111" s="60" t="s">
        <v>52</v>
      </c>
      <c r="G111" s="52">
        <v>321.13</v>
      </c>
      <c r="H111" s="53">
        <f t="shared" si="17"/>
        <v>411.31129129094398</v>
      </c>
      <c r="I111" s="52">
        <f t="shared" si="18"/>
        <v>28791.790390366077</v>
      </c>
      <c r="J111" s="97"/>
      <c r="K111" s="238">
        <f t="shared" si="19"/>
        <v>2.1876700779916748E-3</v>
      </c>
      <c r="L111" s="1"/>
      <c r="M111" s="1"/>
      <c r="N111" s="1"/>
      <c r="O111" s="1"/>
      <c r="P111" s="1"/>
      <c r="Q111" s="1"/>
      <c r="R111" s="1"/>
      <c r="S111" s="1"/>
      <c r="T111" s="1"/>
      <c r="U111" s="1"/>
      <c r="V111" s="1"/>
      <c r="W111" s="1"/>
      <c r="X111" s="1"/>
    </row>
    <row r="112" spans="1:24" ht="16.5" customHeight="1" x14ac:dyDescent="0.2">
      <c r="A112" s="269" t="s">
        <v>16</v>
      </c>
      <c r="B112" s="266"/>
      <c r="C112" s="266"/>
      <c r="D112" s="299"/>
      <c r="E112" s="266"/>
      <c r="F112" s="266"/>
      <c r="G112" s="266"/>
      <c r="H112" s="266"/>
      <c r="I112" s="56">
        <f>SUM(I99:I111)</f>
        <v>782706.52077629534</v>
      </c>
      <c r="J112" s="97"/>
      <c r="K112" s="1"/>
      <c r="L112" s="1"/>
      <c r="M112" s="1"/>
      <c r="N112" s="1"/>
      <c r="O112" s="1"/>
      <c r="P112" s="1"/>
      <c r="Q112" s="1"/>
      <c r="R112" s="1"/>
      <c r="S112" s="1"/>
      <c r="T112" s="1"/>
      <c r="U112" s="1"/>
      <c r="V112" s="1"/>
      <c r="W112" s="1"/>
      <c r="X112" s="1"/>
    </row>
    <row r="113" spans="1:24" ht="16.5" customHeight="1" x14ac:dyDescent="0.2">
      <c r="A113" s="57">
        <v>14</v>
      </c>
      <c r="B113" s="58"/>
      <c r="C113" s="58"/>
      <c r="D113" s="242" t="s">
        <v>55</v>
      </c>
      <c r="E113" s="59"/>
      <c r="F113" s="59"/>
      <c r="G113" s="59"/>
      <c r="H113" s="59"/>
      <c r="I113" s="59"/>
      <c r="J113" s="97"/>
      <c r="K113" s="1"/>
      <c r="L113" s="1"/>
      <c r="M113" s="1"/>
      <c r="N113" s="1"/>
      <c r="O113" s="1"/>
      <c r="P113" s="1"/>
      <c r="Q113" s="1"/>
      <c r="R113" s="1"/>
      <c r="S113" s="1"/>
      <c r="T113" s="1"/>
      <c r="U113" s="1"/>
      <c r="V113" s="1"/>
      <c r="W113" s="1"/>
      <c r="X113" s="1"/>
    </row>
    <row r="114" spans="1:24" ht="25.5" customHeight="1" x14ac:dyDescent="0.2">
      <c r="A114" s="82" t="s">
        <v>80</v>
      </c>
      <c r="B114" s="127" t="s">
        <v>57</v>
      </c>
      <c r="C114" s="128" t="s">
        <v>848</v>
      </c>
      <c r="D114" s="132" t="s">
        <v>579</v>
      </c>
      <c r="E114" s="142">
        <f>'Memória de Cálculo'!J1675</f>
        <v>6860</v>
      </c>
      <c r="F114" s="80" t="s">
        <v>25</v>
      </c>
      <c r="G114" s="86">
        <v>41.92</v>
      </c>
      <c r="H114" s="53">
        <f t="shared" ref="H114:H134" si="20">G114*(1+$H$6)</f>
        <v>53.692178653244397</v>
      </c>
      <c r="I114" s="87">
        <f t="shared" ref="I114:I132" si="21">E114*H114</f>
        <v>368328.34556125657</v>
      </c>
      <c r="J114" s="97"/>
      <c r="K114" s="238">
        <f t="shared" ref="K114:K134" si="22">I114/$I$186</f>
        <v>2.7986481199521317E-2</v>
      </c>
      <c r="L114" s="1"/>
      <c r="M114" s="1"/>
      <c r="N114" s="1"/>
      <c r="O114" s="1"/>
      <c r="P114" s="1"/>
      <c r="Q114" s="1"/>
      <c r="R114" s="1"/>
      <c r="S114" s="1"/>
      <c r="T114" s="1"/>
      <c r="U114" s="1"/>
      <c r="V114" s="1"/>
      <c r="W114" s="1"/>
      <c r="X114" s="1"/>
    </row>
    <row r="115" spans="1:24" s="29" customFormat="1" ht="25.5" customHeight="1" x14ac:dyDescent="0.2">
      <c r="A115" s="82" t="s">
        <v>81</v>
      </c>
      <c r="B115" s="127" t="s">
        <v>212</v>
      </c>
      <c r="C115" s="128" t="s">
        <v>848</v>
      </c>
      <c r="D115" s="132" t="s">
        <v>580</v>
      </c>
      <c r="E115" s="143">
        <f>'Memória de Cálculo'!J1679</f>
        <v>3416</v>
      </c>
      <c r="F115" s="89" t="s">
        <v>52</v>
      </c>
      <c r="G115" s="90">
        <v>8.83</v>
      </c>
      <c r="H115" s="53">
        <f t="shared" si="20"/>
        <v>11.309683623763073</v>
      </c>
      <c r="I115" s="91">
        <f t="shared" si="21"/>
        <v>38633.879258774658</v>
      </c>
      <c r="J115" s="100"/>
      <c r="K115" s="238">
        <f t="shared" si="22"/>
        <v>2.9354958654966051E-3</v>
      </c>
      <c r="L115" s="28"/>
      <c r="M115" s="28"/>
      <c r="N115" s="28"/>
      <c r="O115" s="28"/>
      <c r="P115" s="28"/>
      <c r="Q115" s="28"/>
      <c r="R115" s="28"/>
      <c r="S115" s="28"/>
      <c r="T115" s="28"/>
      <c r="U115" s="28"/>
      <c r="V115" s="28"/>
      <c r="W115" s="28"/>
      <c r="X115" s="28"/>
    </row>
    <row r="116" spans="1:24" ht="25.5" customHeight="1" x14ac:dyDescent="0.2">
      <c r="A116" s="82" t="s">
        <v>83</v>
      </c>
      <c r="B116" s="127" t="s">
        <v>213</v>
      </c>
      <c r="C116" s="128" t="s">
        <v>848</v>
      </c>
      <c r="D116" s="132" t="s">
        <v>581</v>
      </c>
      <c r="E116" s="142">
        <f>'Memória de Cálculo'!J1683</f>
        <v>7000</v>
      </c>
      <c r="F116" s="80" t="s">
        <v>25</v>
      </c>
      <c r="G116" s="86">
        <v>5.86</v>
      </c>
      <c r="H116" s="53">
        <f t="shared" si="20"/>
        <v>7.5056337525766263</v>
      </c>
      <c r="I116" s="87">
        <f t="shared" si="21"/>
        <v>52539.436268036385</v>
      </c>
      <c r="J116" s="97"/>
      <c r="K116" s="238">
        <f t="shared" si="22"/>
        <v>3.992073819646628E-3</v>
      </c>
      <c r="L116" s="1"/>
      <c r="M116" s="1"/>
      <c r="N116" s="1"/>
      <c r="O116" s="1"/>
      <c r="P116" s="1"/>
      <c r="Q116" s="1"/>
      <c r="R116" s="1"/>
      <c r="S116" s="1"/>
      <c r="T116" s="1"/>
      <c r="U116" s="1"/>
      <c r="V116" s="1"/>
      <c r="W116" s="1"/>
      <c r="X116" s="1"/>
    </row>
    <row r="117" spans="1:24" ht="25.5" customHeight="1" x14ac:dyDescent="0.2">
      <c r="A117" s="82" t="s">
        <v>85</v>
      </c>
      <c r="B117" s="127">
        <v>91924</v>
      </c>
      <c r="C117" s="129" t="s">
        <v>599</v>
      </c>
      <c r="D117" s="132" t="s">
        <v>582</v>
      </c>
      <c r="E117" s="142">
        <f>'Memória de Cálculo'!J1689</f>
        <v>13300</v>
      </c>
      <c r="F117" s="82" t="s">
        <v>25</v>
      </c>
      <c r="G117" s="86">
        <v>2.69</v>
      </c>
      <c r="H117" s="53">
        <f t="shared" si="20"/>
        <v>3.4454189068995089</v>
      </c>
      <c r="I117" s="87">
        <f t="shared" si="21"/>
        <v>45824.071461763466</v>
      </c>
      <c r="J117" s="97"/>
      <c r="K117" s="238">
        <f t="shared" si="22"/>
        <v>3.4818241112993028E-3</v>
      </c>
      <c r="L117" s="1"/>
      <c r="M117" s="1"/>
      <c r="N117" s="1"/>
      <c r="O117" s="1"/>
      <c r="P117" s="1"/>
      <c r="Q117" s="1"/>
      <c r="R117" s="1"/>
      <c r="S117" s="1"/>
      <c r="T117" s="1"/>
      <c r="U117" s="1"/>
      <c r="V117" s="1"/>
      <c r="W117" s="1"/>
      <c r="X117" s="1"/>
    </row>
    <row r="118" spans="1:24" s="29" customFormat="1" ht="25.5" customHeight="1" x14ac:dyDescent="0.2">
      <c r="A118" s="82" t="s">
        <v>87</v>
      </c>
      <c r="B118" s="127">
        <v>91927</v>
      </c>
      <c r="C118" s="129" t="s">
        <v>599</v>
      </c>
      <c r="D118" s="132" t="s">
        <v>583</v>
      </c>
      <c r="E118" s="143">
        <f>'Memória de Cálculo'!J1695</f>
        <v>31500</v>
      </c>
      <c r="F118" s="88" t="s">
        <v>25</v>
      </c>
      <c r="G118" s="90">
        <v>4.38</v>
      </c>
      <c r="H118" s="53">
        <f t="shared" si="20"/>
        <v>5.6100129413456692</v>
      </c>
      <c r="I118" s="91">
        <f t="shared" si="21"/>
        <v>176715.40765238859</v>
      </c>
      <c r="J118" s="100"/>
      <c r="K118" s="238">
        <f t="shared" si="22"/>
        <v>1.3427265355842157E-2</v>
      </c>
      <c r="L118" s="28"/>
      <c r="M118" s="28"/>
      <c r="N118" s="28"/>
      <c r="O118" s="28"/>
      <c r="P118" s="28"/>
      <c r="Q118" s="28"/>
      <c r="R118" s="28"/>
      <c r="S118" s="28"/>
      <c r="T118" s="28"/>
      <c r="U118" s="28"/>
      <c r="V118" s="28"/>
      <c r="W118" s="28"/>
      <c r="X118" s="28"/>
    </row>
    <row r="119" spans="1:24" ht="25.5" customHeight="1" x14ac:dyDescent="0.2">
      <c r="A119" s="82" t="s">
        <v>88</v>
      </c>
      <c r="B119" s="127" t="s">
        <v>60</v>
      </c>
      <c r="C119" s="128" t="s">
        <v>848</v>
      </c>
      <c r="D119" s="230" t="s">
        <v>584</v>
      </c>
      <c r="E119" s="142">
        <f>'Memória de Cálculo'!J1699</f>
        <v>112</v>
      </c>
      <c r="F119" s="82" t="s">
        <v>52</v>
      </c>
      <c r="G119" s="86">
        <v>25.1</v>
      </c>
      <c r="H119" s="53">
        <f t="shared" si="20"/>
        <v>32.148704298579062</v>
      </c>
      <c r="I119" s="87">
        <f t="shared" si="21"/>
        <v>3600.6548814408552</v>
      </c>
      <c r="J119" s="97"/>
      <c r="K119" s="238">
        <f t="shared" si="22"/>
        <v>2.7358649248636276E-4</v>
      </c>
      <c r="L119" s="1"/>
      <c r="M119" s="1"/>
      <c r="N119" s="1"/>
      <c r="O119" s="1"/>
      <c r="P119" s="1"/>
      <c r="Q119" s="1"/>
      <c r="R119" s="1"/>
      <c r="S119" s="1"/>
      <c r="T119" s="1"/>
      <c r="U119" s="1"/>
      <c r="V119" s="1"/>
      <c r="W119" s="1"/>
      <c r="X119" s="1"/>
    </row>
    <row r="120" spans="1:24" ht="25.5" customHeight="1" x14ac:dyDescent="0.2">
      <c r="A120" s="82" t="s">
        <v>89</v>
      </c>
      <c r="B120" s="127" t="s">
        <v>61</v>
      </c>
      <c r="C120" s="128" t="s">
        <v>848</v>
      </c>
      <c r="D120" s="230" t="s">
        <v>585</v>
      </c>
      <c r="E120" s="142">
        <f>'Memória de Cálculo'!J1708</f>
        <v>2219</v>
      </c>
      <c r="F120" s="82" t="s">
        <v>52</v>
      </c>
      <c r="G120" s="86">
        <v>24.21</v>
      </c>
      <c r="H120" s="53">
        <f t="shared" si="20"/>
        <v>31.008770162095583</v>
      </c>
      <c r="I120" s="87">
        <f t="shared" si="21"/>
        <v>68808.460989690095</v>
      </c>
      <c r="J120" s="97"/>
      <c r="K120" s="238">
        <f t="shared" si="22"/>
        <v>5.2282337839667957E-3</v>
      </c>
      <c r="L120" s="1"/>
      <c r="M120" s="1"/>
      <c r="N120" s="1"/>
      <c r="O120" s="1"/>
      <c r="P120" s="1"/>
      <c r="Q120" s="1"/>
      <c r="R120" s="1"/>
      <c r="S120" s="1"/>
      <c r="T120" s="1"/>
      <c r="U120" s="1"/>
      <c r="V120" s="1"/>
      <c r="W120" s="1"/>
      <c r="X120" s="1"/>
    </row>
    <row r="121" spans="1:24" ht="25.5" customHeight="1" x14ac:dyDescent="0.2">
      <c r="A121" s="82" t="s">
        <v>91</v>
      </c>
      <c r="B121" s="127" t="s">
        <v>62</v>
      </c>
      <c r="C121" s="128" t="s">
        <v>848</v>
      </c>
      <c r="D121" s="132" t="s">
        <v>586</v>
      </c>
      <c r="E121" s="143">
        <f>'Memória de Cálculo'!J1713</f>
        <v>224</v>
      </c>
      <c r="F121" s="82" t="s">
        <v>52</v>
      </c>
      <c r="G121" s="86">
        <v>43.21</v>
      </c>
      <c r="H121" s="53">
        <f t="shared" si="20"/>
        <v>55.344442738709212</v>
      </c>
      <c r="I121" s="87">
        <f t="shared" si="21"/>
        <v>12397.155173470863</v>
      </c>
      <c r="J121" s="97"/>
      <c r="K121" s="238">
        <f t="shared" si="22"/>
        <v>9.4196592353272784E-4</v>
      </c>
      <c r="L121" s="1"/>
      <c r="M121" s="1"/>
      <c r="N121" s="1"/>
      <c r="O121" s="1"/>
      <c r="P121" s="1"/>
      <c r="Q121" s="1"/>
      <c r="R121" s="1"/>
      <c r="S121" s="1"/>
      <c r="T121" s="1"/>
      <c r="U121" s="1"/>
      <c r="V121" s="1"/>
      <c r="W121" s="1"/>
      <c r="X121" s="1"/>
    </row>
    <row r="122" spans="1:24" s="30" customFormat="1" ht="25.5" customHeight="1" x14ac:dyDescent="0.2">
      <c r="A122" s="82" t="s">
        <v>93</v>
      </c>
      <c r="B122" s="127" t="s">
        <v>63</v>
      </c>
      <c r="C122" s="128" t="s">
        <v>848</v>
      </c>
      <c r="D122" s="132" t="s">
        <v>587</v>
      </c>
      <c r="E122" s="143">
        <f>'Memória de Cálculo'!J1718</f>
        <v>448</v>
      </c>
      <c r="F122" s="88" t="s">
        <v>52</v>
      </c>
      <c r="G122" s="90">
        <v>80.08</v>
      </c>
      <c r="H122" s="53">
        <f t="shared" si="20"/>
        <v>102.56845578606419</v>
      </c>
      <c r="I122" s="91">
        <f>E122*H122</f>
        <v>45950.668192156758</v>
      </c>
      <c r="J122" s="100"/>
      <c r="K122" s="238">
        <f t="shared" si="22"/>
        <v>3.4914432379773591E-3</v>
      </c>
      <c r="L122" s="28"/>
      <c r="M122" s="28"/>
      <c r="N122" s="28"/>
      <c r="O122" s="28"/>
      <c r="P122" s="28"/>
      <c r="Q122" s="28"/>
      <c r="R122" s="28"/>
      <c r="S122" s="28"/>
      <c r="T122" s="28"/>
      <c r="U122" s="28"/>
      <c r="V122" s="28"/>
      <c r="W122" s="28"/>
      <c r="X122" s="28"/>
    </row>
    <row r="123" spans="1:24" ht="25.5" customHeight="1" x14ac:dyDescent="0.2">
      <c r="A123" s="82" t="s">
        <v>95</v>
      </c>
      <c r="B123" s="211" t="str">
        <f>[2]Relatório!$A$1499</f>
        <v>ED-15770</v>
      </c>
      <c r="C123" s="129" t="s">
        <v>848</v>
      </c>
      <c r="D123" s="212" t="s">
        <v>588</v>
      </c>
      <c r="E123" s="213">
        <f>'Memória de Cálculo'!J1722</f>
        <v>112</v>
      </c>
      <c r="F123" s="210" t="s">
        <v>52</v>
      </c>
      <c r="G123" s="214">
        <v>46.13</v>
      </c>
      <c r="H123" s="215">
        <f t="shared" si="20"/>
        <v>59.084451366272994</v>
      </c>
      <c r="I123" s="216">
        <f t="shared" si="21"/>
        <v>6617.458553022575</v>
      </c>
      <c r="J123" s="97"/>
      <c r="K123" s="238">
        <f t="shared" si="22"/>
        <v>5.0281055372095268E-4</v>
      </c>
      <c r="L123" s="1"/>
      <c r="M123" s="1"/>
      <c r="N123" s="1"/>
      <c r="O123" s="1"/>
      <c r="P123" s="1"/>
      <c r="Q123" s="1"/>
      <c r="R123" s="1"/>
      <c r="S123" s="1"/>
      <c r="T123" s="1"/>
      <c r="U123" s="1"/>
      <c r="V123" s="1"/>
      <c r="W123" s="1"/>
      <c r="X123" s="1"/>
    </row>
    <row r="124" spans="1:24" s="166" customFormat="1" ht="25.5" customHeight="1" x14ac:dyDescent="0.2">
      <c r="A124" s="82" t="s">
        <v>97</v>
      </c>
      <c r="B124" s="211" t="s">
        <v>862</v>
      </c>
      <c r="C124" s="128" t="s">
        <v>848</v>
      </c>
      <c r="D124" s="212" t="s">
        <v>863</v>
      </c>
      <c r="E124" s="213">
        <f>'Memória de Cálculo'!J1726</f>
        <v>112</v>
      </c>
      <c r="F124" s="210" t="s">
        <v>52</v>
      </c>
      <c r="G124" s="214">
        <v>45.76</v>
      </c>
      <c r="H124" s="215">
        <f t="shared" ref="H124" si="23">G124*(1+$H$6)</f>
        <v>58.610546163465251</v>
      </c>
      <c r="I124" s="216">
        <f t="shared" ref="I124" si="24">E124*H124</f>
        <v>6564.3811703081083</v>
      </c>
      <c r="J124" s="97"/>
      <c r="K124" s="238">
        <f t="shared" si="22"/>
        <v>4.9877760542533709E-4</v>
      </c>
      <c r="L124" s="1"/>
      <c r="M124" s="1"/>
      <c r="N124" s="1"/>
      <c r="O124" s="1"/>
      <c r="P124" s="1"/>
      <c r="Q124" s="1"/>
      <c r="R124" s="1"/>
      <c r="S124" s="1"/>
      <c r="T124" s="1"/>
      <c r="U124" s="1"/>
      <c r="V124" s="1"/>
      <c r="W124" s="1"/>
      <c r="X124" s="1"/>
    </row>
    <row r="125" spans="1:24" ht="25.5" customHeight="1" x14ac:dyDescent="0.2">
      <c r="A125" s="82" t="s">
        <v>99</v>
      </c>
      <c r="B125" s="127" t="str">
        <f>[2]Relatório!$A$1904</f>
        <v>ED-49231</v>
      </c>
      <c r="C125" s="128" t="s">
        <v>848</v>
      </c>
      <c r="D125" s="132" t="s">
        <v>589</v>
      </c>
      <c r="E125" s="142">
        <f>'Memória de Cálculo'!J1730</f>
        <v>343</v>
      </c>
      <c r="F125" s="92" t="s">
        <v>52</v>
      </c>
      <c r="G125" s="93">
        <v>21.73</v>
      </c>
      <c r="H125" s="53">
        <f t="shared" si="20"/>
        <v>27.832324478411277</v>
      </c>
      <c r="I125" s="87">
        <f t="shared" si="21"/>
        <v>9546.487296095067</v>
      </c>
      <c r="J125" s="97"/>
      <c r="K125" s="238">
        <f t="shared" si="22"/>
        <v>7.2536526295992147E-4</v>
      </c>
      <c r="L125" s="1"/>
      <c r="M125" s="1"/>
      <c r="N125" s="1"/>
      <c r="O125" s="1"/>
      <c r="P125" s="1"/>
      <c r="Q125" s="1"/>
      <c r="R125" s="1"/>
      <c r="S125" s="1"/>
      <c r="T125" s="1"/>
      <c r="U125" s="1"/>
      <c r="V125" s="1"/>
      <c r="W125" s="1"/>
      <c r="X125" s="1"/>
    </row>
    <row r="126" spans="1:24" ht="25.5" customHeight="1" x14ac:dyDescent="0.2">
      <c r="A126" s="82" t="s">
        <v>101</v>
      </c>
      <c r="B126" s="127" t="str">
        <f>[2]Relatório!$A$1878</f>
        <v>ED-49243</v>
      </c>
      <c r="C126" s="128" t="s">
        <v>848</v>
      </c>
      <c r="D126" s="132" t="s">
        <v>590</v>
      </c>
      <c r="E126" s="142">
        <f>'Memória de Cálculo'!J1734</f>
        <v>119</v>
      </c>
      <c r="F126" s="92" t="s">
        <v>52</v>
      </c>
      <c r="G126" s="93">
        <v>64.14</v>
      </c>
      <c r="H126" s="53">
        <f t="shared" si="20"/>
        <v>82.152107319157807</v>
      </c>
      <c r="I126" s="87">
        <f t="shared" si="21"/>
        <v>9776.1007709797796</v>
      </c>
      <c r="J126" s="97"/>
      <c r="K126" s="238">
        <f t="shared" si="22"/>
        <v>7.4281185178605631E-4</v>
      </c>
      <c r="L126" s="1"/>
      <c r="M126" s="1"/>
      <c r="N126" s="1"/>
      <c r="O126" s="1"/>
      <c r="P126" s="1"/>
      <c r="Q126" s="1"/>
      <c r="R126" s="1"/>
      <c r="S126" s="1"/>
      <c r="T126" s="1"/>
      <c r="U126" s="1"/>
      <c r="V126" s="1"/>
      <c r="W126" s="1"/>
      <c r="X126" s="1"/>
    </row>
    <row r="127" spans="1:24" ht="25.5" customHeight="1" x14ac:dyDescent="0.2">
      <c r="A127" s="82" t="s">
        <v>103</v>
      </c>
      <c r="B127" s="127" t="str">
        <f>[3]Relatório!$A$1854</f>
        <v>ED-49242</v>
      </c>
      <c r="C127" s="128" t="s">
        <v>848</v>
      </c>
      <c r="D127" s="132" t="s">
        <v>591</v>
      </c>
      <c r="E127" s="142">
        <f>'Memória de Cálculo'!J1738</f>
        <v>112</v>
      </c>
      <c r="F127" s="92" t="s">
        <v>52</v>
      </c>
      <c r="G127" s="93">
        <v>64.14</v>
      </c>
      <c r="H127" s="53">
        <f t="shared" si="20"/>
        <v>82.152107319157807</v>
      </c>
      <c r="I127" s="87">
        <f t="shared" si="21"/>
        <v>9201.0360197456739</v>
      </c>
      <c r="J127" s="97"/>
      <c r="K127" s="238">
        <f t="shared" si="22"/>
        <v>6.9911703697511174E-4</v>
      </c>
      <c r="L127" s="1"/>
      <c r="M127" s="1"/>
      <c r="N127" s="1"/>
      <c r="O127" s="1"/>
      <c r="P127" s="1"/>
      <c r="Q127" s="1"/>
      <c r="R127" s="1"/>
      <c r="S127" s="1"/>
      <c r="T127" s="1"/>
      <c r="U127" s="1"/>
      <c r="V127" s="1"/>
      <c r="W127" s="1"/>
      <c r="X127" s="1"/>
    </row>
    <row r="128" spans="1:24" ht="25.5" customHeight="1" x14ac:dyDescent="0.2">
      <c r="A128" s="82" t="s">
        <v>393</v>
      </c>
      <c r="B128" s="127" t="str">
        <f>[2]Relatório!$A$1901</f>
        <v>ED-49228</v>
      </c>
      <c r="C128" s="128" t="s">
        <v>848</v>
      </c>
      <c r="D128" s="132" t="s">
        <v>592</v>
      </c>
      <c r="E128" s="142">
        <f>'Memória de Cálculo'!J1742</f>
        <v>119</v>
      </c>
      <c r="F128" s="92" t="s">
        <v>52</v>
      </c>
      <c r="G128" s="93">
        <v>21.73</v>
      </c>
      <c r="H128" s="53">
        <f t="shared" si="20"/>
        <v>27.832324478411277</v>
      </c>
      <c r="I128" s="87">
        <f t="shared" si="21"/>
        <v>3312.046612930942</v>
      </c>
      <c r="J128" s="97"/>
      <c r="K128" s="238">
        <f t="shared" si="22"/>
        <v>2.5165733612895238E-4</v>
      </c>
      <c r="L128" s="1"/>
      <c r="M128" s="1"/>
      <c r="N128" s="1"/>
      <c r="O128" s="1"/>
      <c r="P128" s="1"/>
      <c r="Q128" s="1"/>
      <c r="R128" s="1"/>
      <c r="S128" s="1"/>
      <c r="T128" s="1"/>
      <c r="U128" s="1"/>
      <c r="V128" s="1"/>
      <c r="W128" s="1"/>
      <c r="X128" s="1"/>
    </row>
    <row r="129" spans="1:24" ht="25.5" customHeight="1" x14ac:dyDescent="0.2">
      <c r="A129" s="82" t="s">
        <v>106</v>
      </c>
      <c r="B129" s="127" t="s">
        <v>64</v>
      </c>
      <c r="C129" s="128" t="s">
        <v>848</v>
      </c>
      <c r="D129" s="132" t="s">
        <v>593</v>
      </c>
      <c r="E129" s="142">
        <f>'Memória de Cálculo'!J1746</f>
        <v>238</v>
      </c>
      <c r="F129" s="92" t="s">
        <v>52</v>
      </c>
      <c r="G129" s="86">
        <v>297.45999999999998</v>
      </c>
      <c r="H129" s="53">
        <f t="shared" si="20"/>
        <v>380.99416655997317</v>
      </c>
      <c r="I129" s="87">
        <f t="shared" si="21"/>
        <v>90676.611641273616</v>
      </c>
      <c r="J129" s="97"/>
      <c r="K129" s="238">
        <f t="shared" si="22"/>
        <v>6.88982891899845E-3</v>
      </c>
      <c r="L129" s="1"/>
      <c r="M129" s="1"/>
      <c r="N129" s="1"/>
      <c r="O129" s="1"/>
      <c r="P129" s="1"/>
      <c r="Q129" s="1"/>
      <c r="R129" s="1"/>
      <c r="S129" s="1"/>
      <c r="T129" s="1"/>
      <c r="U129" s="1"/>
      <c r="V129" s="1"/>
      <c r="W129" s="1"/>
      <c r="X129" s="1"/>
    </row>
    <row r="130" spans="1:24" ht="25.5" customHeight="1" x14ac:dyDescent="0.2">
      <c r="A130" s="82" t="s">
        <v>394</v>
      </c>
      <c r="B130" s="127">
        <v>91854</v>
      </c>
      <c r="C130" s="129" t="s">
        <v>599</v>
      </c>
      <c r="D130" s="132" t="s">
        <v>594</v>
      </c>
      <c r="E130" s="142">
        <f>'Memória de Cálculo'!J1750</f>
        <v>7000</v>
      </c>
      <c r="F130" s="92" t="s">
        <v>52</v>
      </c>
      <c r="G130" s="86">
        <v>9.26</v>
      </c>
      <c r="H130" s="53">
        <f t="shared" si="20"/>
        <v>11.860438318918012</v>
      </c>
      <c r="I130" s="87">
        <f t="shared" si="21"/>
        <v>83023.068232426085</v>
      </c>
      <c r="J130" s="97"/>
      <c r="K130" s="238">
        <f t="shared" si="22"/>
        <v>6.3082941245610532E-3</v>
      </c>
      <c r="L130" s="1"/>
      <c r="M130" s="1"/>
      <c r="N130" s="1"/>
      <c r="O130" s="1"/>
      <c r="P130" s="1"/>
      <c r="Q130" s="1"/>
      <c r="R130" s="1"/>
      <c r="S130" s="1"/>
      <c r="T130" s="1"/>
      <c r="U130" s="1"/>
      <c r="V130" s="1"/>
      <c r="W130" s="1"/>
      <c r="X130" s="1"/>
    </row>
    <row r="131" spans="1:24" ht="25.5" customHeight="1" x14ac:dyDescent="0.2">
      <c r="A131" s="82" t="s">
        <v>395</v>
      </c>
      <c r="B131" s="127" t="str">
        <f>[3]Relatório!$A$1695</f>
        <v>ED-49405</v>
      </c>
      <c r="C131" s="128" t="s">
        <v>848</v>
      </c>
      <c r="D131" s="132" t="s">
        <v>595</v>
      </c>
      <c r="E131" s="142">
        <f>'Memória de Cálculo'!J1754</f>
        <v>70</v>
      </c>
      <c r="F131" s="92" t="s">
        <v>52</v>
      </c>
      <c r="G131" s="86">
        <v>96.73</v>
      </c>
      <c r="H131" s="53">
        <f t="shared" si="20"/>
        <v>123.89418991241246</v>
      </c>
      <c r="I131" s="87">
        <f t="shared" si="21"/>
        <v>8672.5932938688711</v>
      </c>
      <c r="J131" s="97"/>
      <c r="K131" s="238">
        <f t="shared" si="22"/>
        <v>6.589646767481541E-4</v>
      </c>
      <c r="L131" s="1"/>
      <c r="M131" s="1"/>
      <c r="N131" s="1"/>
      <c r="O131" s="1"/>
      <c r="P131" s="1"/>
      <c r="Q131" s="1"/>
      <c r="R131" s="1"/>
      <c r="S131" s="1"/>
      <c r="T131" s="1"/>
      <c r="U131" s="1"/>
      <c r="V131" s="1"/>
      <c r="W131" s="1"/>
      <c r="X131" s="1"/>
    </row>
    <row r="132" spans="1:24" ht="25.5" customHeight="1" x14ac:dyDescent="0.2">
      <c r="A132" s="82" t="s">
        <v>396</v>
      </c>
      <c r="B132" s="187" t="str">
        <f>[3]Relatório!$A$1749</f>
        <v>ED-13357</v>
      </c>
      <c r="C132" s="128" t="s">
        <v>848</v>
      </c>
      <c r="D132" s="188" t="s">
        <v>596</v>
      </c>
      <c r="E132" s="199">
        <f>'Memória de Cálculo'!J1758</f>
        <v>924</v>
      </c>
      <c r="F132" s="200" t="s">
        <v>52</v>
      </c>
      <c r="G132" s="190">
        <v>59.33</v>
      </c>
      <c r="H132" s="191">
        <f t="shared" si="20"/>
        <v>75.991339682657198</v>
      </c>
      <c r="I132" s="201">
        <f t="shared" si="21"/>
        <v>70215.997866775258</v>
      </c>
      <c r="J132" s="179"/>
      <c r="K132" s="238">
        <f t="shared" si="22"/>
        <v>5.3351818503398884E-3</v>
      </c>
      <c r="L132" s="1"/>
      <c r="M132" s="1"/>
      <c r="N132" s="1"/>
      <c r="O132" s="1"/>
      <c r="P132" s="1"/>
      <c r="Q132" s="1"/>
      <c r="R132" s="1"/>
      <c r="S132" s="1"/>
      <c r="T132" s="1"/>
      <c r="U132" s="1"/>
      <c r="V132" s="1"/>
      <c r="W132" s="1"/>
      <c r="X132" s="1"/>
    </row>
    <row r="133" spans="1:24" ht="25.5" customHeight="1" x14ac:dyDescent="0.2">
      <c r="A133" s="82" t="s">
        <v>397</v>
      </c>
      <c r="B133" s="187" t="str">
        <f>[3]Relatório!$A$1407</f>
        <v>ED-49149</v>
      </c>
      <c r="C133" s="128" t="s">
        <v>848</v>
      </c>
      <c r="D133" s="188" t="s">
        <v>597</v>
      </c>
      <c r="E133" s="199">
        <f>'Memória de Cálculo'!J1762</f>
        <v>210</v>
      </c>
      <c r="F133" s="200" t="s">
        <v>52</v>
      </c>
      <c r="G133" s="190">
        <v>118.71</v>
      </c>
      <c r="H133" s="191">
        <f t="shared" si="20"/>
        <v>152.04672060893705</v>
      </c>
      <c r="I133" s="201">
        <f>E133*H133</f>
        <v>31929.811327876781</v>
      </c>
      <c r="J133" s="97"/>
      <c r="K133" s="238">
        <f t="shared" si="22"/>
        <v>2.4261045211446306E-3</v>
      </c>
      <c r="L133" s="1"/>
      <c r="M133" s="1"/>
      <c r="N133" s="1"/>
      <c r="O133" s="1"/>
      <c r="P133" s="1"/>
      <c r="Q133" s="1"/>
      <c r="R133" s="1"/>
      <c r="S133" s="1"/>
      <c r="T133" s="1"/>
      <c r="U133" s="1"/>
      <c r="V133" s="1"/>
      <c r="W133" s="1"/>
      <c r="X133" s="1"/>
    </row>
    <row r="134" spans="1:24" ht="25.5" customHeight="1" x14ac:dyDescent="0.2">
      <c r="A134" s="82" t="s">
        <v>398</v>
      </c>
      <c r="B134" s="127" t="str">
        <f>[3]Relatório!$A$1528</f>
        <v>ED-49415</v>
      </c>
      <c r="C134" s="128" t="s">
        <v>848</v>
      </c>
      <c r="D134" s="131" t="s">
        <v>598</v>
      </c>
      <c r="E134" s="142">
        <f>'Memória de Cálculo'!J1766</f>
        <v>2450</v>
      </c>
      <c r="F134" s="92" t="s">
        <v>52</v>
      </c>
      <c r="G134" s="83">
        <v>12.53</v>
      </c>
      <c r="H134" s="53">
        <f t="shared" si="20"/>
        <v>16.048735651840463</v>
      </c>
      <c r="I134" s="87">
        <f>E134*H134</f>
        <v>39319.402347009134</v>
      </c>
      <c r="K134" s="238">
        <f t="shared" si="22"/>
        <v>2.9875835727065335E-3</v>
      </c>
    </row>
    <row r="135" spans="1:24" ht="16.5" customHeight="1" x14ac:dyDescent="0.2">
      <c r="A135" s="269" t="s">
        <v>16</v>
      </c>
      <c r="B135" s="266"/>
      <c r="C135" s="266"/>
      <c r="D135" s="299"/>
      <c r="E135" s="266"/>
      <c r="F135" s="266"/>
      <c r="G135" s="266"/>
      <c r="H135" s="266"/>
      <c r="I135" s="67">
        <f>SUM(I114:I134)</f>
        <v>1181653.0745712898</v>
      </c>
      <c r="J135" s="97"/>
      <c r="K135" s="1"/>
      <c r="L135" s="1"/>
      <c r="M135" s="1"/>
      <c r="N135" s="1"/>
      <c r="O135" s="1"/>
      <c r="P135" s="1"/>
      <c r="Q135" s="1"/>
      <c r="R135" s="1"/>
      <c r="S135" s="1"/>
      <c r="T135" s="1"/>
      <c r="U135" s="1"/>
      <c r="V135" s="1"/>
      <c r="W135" s="1"/>
      <c r="X135" s="1"/>
    </row>
    <row r="136" spans="1:24" ht="16.5" customHeight="1" x14ac:dyDescent="0.2">
      <c r="A136" s="57">
        <v>15</v>
      </c>
      <c r="B136" s="58"/>
      <c r="C136" s="58"/>
      <c r="D136" s="241" t="s">
        <v>65</v>
      </c>
      <c r="E136" s="59"/>
      <c r="F136" s="59"/>
      <c r="G136" s="59"/>
      <c r="H136" s="59"/>
      <c r="I136" s="59"/>
      <c r="J136" s="97"/>
      <c r="K136" s="1"/>
      <c r="L136" s="1"/>
      <c r="M136" s="1"/>
      <c r="N136" s="1"/>
      <c r="O136" s="1"/>
      <c r="P136" s="1"/>
      <c r="Q136" s="1"/>
      <c r="R136" s="1"/>
      <c r="S136" s="1"/>
      <c r="T136" s="1"/>
      <c r="U136" s="1"/>
      <c r="V136" s="1"/>
      <c r="W136" s="1"/>
      <c r="X136" s="1"/>
    </row>
    <row r="137" spans="1:24" ht="25.5" customHeight="1" x14ac:dyDescent="0.2">
      <c r="A137" s="50" t="s">
        <v>109</v>
      </c>
      <c r="B137" s="127" t="s">
        <v>67</v>
      </c>
      <c r="C137" s="128" t="s">
        <v>848</v>
      </c>
      <c r="D137" s="54" t="s">
        <v>600</v>
      </c>
      <c r="E137" s="51">
        <f>'Memória de Cálculo'!J1771</f>
        <v>28</v>
      </c>
      <c r="F137" s="50" t="s">
        <v>601</v>
      </c>
      <c r="G137" s="55">
        <v>212.44</v>
      </c>
      <c r="H137" s="53">
        <f>G137*(1+$H$6)</f>
        <v>272.09843590398947</v>
      </c>
      <c r="I137" s="63">
        <f>E137*H137</f>
        <v>7618.7562053117053</v>
      </c>
      <c r="J137" s="97"/>
      <c r="K137" s="238">
        <f>I137/$I$186</f>
        <v>5.7889157832473012E-4</v>
      </c>
      <c r="L137" s="1"/>
      <c r="M137" s="1"/>
      <c r="N137" s="1"/>
      <c r="O137" s="1"/>
      <c r="P137" s="1"/>
      <c r="Q137" s="1"/>
      <c r="R137" s="1"/>
      <c r="S137" s="1"/>
      <c r="T137" s="1"/>
      <c r="U137" s="1"/>
      <c r="V137" s="1"/>
      <c r="W137" s="1"/>
      <c r="X137" s="1"/>
    </row>
    <row r="138" spans="1:24" ht="16.5" customHeight="1" x14ac:dyDescent="0.2">
      <c r="A138" s="269" t="s">
        <v>16</v>
      </c>
      <c r="B138" s="266"/>
      <c r="C138" s="266"/>
      <c r="D138" s="266"/>
      <c r="E138" s="266"/>
      <c r="F138" s="266"/>
      <c r="G138" s="266"/>
      <c r="H138" s="266"/>
      <c r="I138" s="94">
        <f>SUM(I137)</f>
        <v>7618.7562053117053</v>
      </c>
      <c r="J138" s="97"/>
      <c r="K138" s="1"/>
      <c r="L138" s="1"/>
      <c r="M138" s="1"/>
      <c r="N138" s="1"/>
      <c r="O138" s="1"/>
      <c r="P138" s="1"/>
      <c r="Q138" s="1"/>
      <c r="R138" s="1"/>
      <c r="S138" s="1"/>
      <c r="T138" s="1"/>
      <c r="U138" s="1"/>
      <c r="V138" s="1"/>
      <c r="W138" s="1"/>
      <c r="X138" s="1"/>
    </row>
    <row r="139" spans="1:24" ht="16.5" customHeight="1" x14ac:dyDescent="0.2">
      <c r="A139" s="57">
        <v>16</v>
      </c>
      <c r="B139" s="57"/>
      <c r="C139" s="57"/>
      <c r="D139" s="144" t="s">
        <v>69</v>
      </c>
      <c r="E139" s="69"/>
      <c r="F139" s="62"/>
      <c r="G139" s="62"/>
      <c r="H139" s="62"/>
      <c r="I139" s="96"/>
      <c r="J139" s="97"/>
      <c r="K139" s="1"/>
      <c r="L139" s="1"/>
      <c r="M139" s="1"/>
      <c r="N139" s="1"/>
      <c r="O139" s="1"/>
      <c r="P139" s="1"/>
      <c r="Q139" s="1"/>
      <c r="R139" s="1"/>
      <c r="S139" s="1"/>
      <c r="T139" s="1"/>
      <c r="U139" s="1"/>
      <c r="V139" s="1"/>
      <c r="W139" s="1"/>
      <c r="X139" s="1"/>
    </row>
    <row r="140" spans="1:24" ht="25.5" customHeight="1" x14ac:dyDescent="0.2">
      <c r="A140" s="50" t="s">
        <v>208</v>
      </c>
      <c r="B140" s="127" t="s">
        <v>70</v>
      </c>
      <c r="C140" s="129" t="s">
        <v>599</v>
      </c>
      <c r="D140" s="131" t="s">
        <v>602</v>
      </c>
      <c r="E140" s="138">
        <f>'Memória de Cálculo'!J1776</f>
        <v>91</v>
      </c>
      <c r="F140" s="92" t="s">
        <v>52</v>
      </c>
      <c r="G140" s="55">
        <v>30.8</v>
      </c>
      <c r="H140" s="53">
        <f>G140*(1+$H$6)</f>
        <v>39.449406071563153</v>
      </c>
      <c r="I140" s="63">
        <f>E140*H140</f>
        <v>3589.8959525122468</v>
      </c>
      <c r="J140" s="97"/>
      <c r="K140" s="238">
        <f>I140/$I$186</f>
        <v>2.7276900296698122E-4</v>
      </c>
      <c r="L140" s="1"/>
      <c r="M140" s="1"/>
      <c r="N140" s="1"/>
      <c r="O140" s="1"/>
      <c r="P140" s="1"/>
      <c r="Q140" s="1"/>
      <c r="R140" s="1"/>
      <c r="S140" s="1"/>
      <c r="T140" s="1"/>
      <c r="U140" s="1"/>
      <c r="V140" s="1"/>
      <c r="W140" s="1"/>
      <c r="X140" s="1"/>
    </row>
    <row r="141" spans="1:24" ht="16.5" customHeight="1" x14ac:dyDescent="0.2">
      <c r="A141" s="269" t="s">
        <v>16</v>
      </c>
      <c r="B141" s="266"/>
      <c r="C141" s="266"/>
      <c r="D141" s="299"/>
      <c r="E141" s="266"/>
      <c r="F141" s="266"/>
      <c r="G141" s="266"/>
      <c r="H141" s="266"/>
      <c r="I141" s="94">
        <f>SUM(I140:I140)</f>
        <v>3589.8959525122468</v>
      </c>
      <c r="J141" s="97"/>
      <c r="K141" s="1"/>
      <c r="L141" s="1"/>
      <c r="M141" s="1"/>
      <c r="N141" s="1"/>
      <c r="O141" s="1"/>
      <c r="P141" s="1"/>
      <c r="Q141" s="1"/>
      <c r="R141" s="1"/>
      <c r="S141" s="1"/>
      <c r="T141" s="1"/>
      <c r="U141" s="1"/>
      <c r="V141" s="1"/>
      <c r="W141" s="1"/>
      <c r="X141" s="1"/>
    </row>
    <row r="142" spans="1:24" ht="16.5" customHeight="1" x14ac:dyDescent="0.2">
      <c r="A142" s="57">
        <v>17</v>
      </c>
      <c r="B142" s="57"/>
      <c r="C142" s="57"/>
      <c r="D142" s="95" t="s">
        <v>72</v>
      </c>
      <c r="E142" s="69"/>
      <c r="F142" s="62"/>
      <c r="G142" s="62"/>
      <c r="H142" s="62"/>
      <c r="I142" s="62"/>
      <c r="J142" s="97"/>
      <c r="K142" s="1"/>
      <c r="L142" s="1"/>
      <c r="M142" s="1"/>
      <c r="N142" s="1"/>
      <c r="O142" s="1"/>
      <c r="P142" s="1"/>
      <c r="Q142" s="1"/>
      <c r="R142" s="1"/>
      <c r="S142" s="1"/>
      <c r="T142" s="1"/>
      <c r="U142" s="1"/>
      <c r="V142" s="1"/>
      <c r="W142" s="1"/>
      <c r="X142" s="1"/>
    </row>
    <row r="143" spans="1:24" ht="40.5" customHeight="1" x14ac:dyDescent="0.2">
      <c r="A143" s="305" t="s">
        <v>73</v>
      </c>
      <c r="B143" s="306"/>
      <c r="C143" s="306"/>
      <c r="D143" s="306"/>
      <c r="E143" s="306"/>
      <c r="F143" s="306"/>
      <c r="G143" s="306"/>
      <c r="H143" s="306"/>
      <c r="I143" s="307"/>
      <c r="J143" s="97"/>
      <c r="K143" s="1"/>
      <c r="L143" s="1"/>
      <c r="M143" s="1"/>
      <c r="N143" s="1"/>
      <c r="O143" s="1"/>
      <c r="P143" s="1"/>
      <c r="Q143" s="1"/>
      <c r="R143" s="1"/>
      <c r="S143" s="1"/>
      <c r="T143" s="1"/>
      <c r="U143" s="1"/>
      <c r="V143" s="1"/>
      <c r="W143" s="1"/>
      <c r="X143" s="1"/>
    </row>
    <row r="144" spans="1:24" ht="25.5" customHeight="1" x14ac:dyDescent="0.2">
      <c r="A144" s="50" t="s">
        <v>344</v>
      </c>
      <c r="B144" s="127" t="str">
        <f>CPU!A10</f>
        <v>Comp - 001</v>
      </c>
      <c r="C144" s="127" t="str">
        <f>B144</f>
        <v>Comp - 001</v>
      </c>
      <c r="D144" s="131" t="s">
        <v>603</v>
      </c>
      <c r="E144" s="138">
        <f>'Memória de Cálculo'!J1781</f>
        <v>21</v>
      </c>
      <c r="F144" s="92" t="s">
        <v>52</v>
      </c>
      <c r="G144" s="55">
        <f>CPU!H10</f>
        <v>23.814999999999998</v>
      </c>
      <c r="H144" s="53">
        <f>G144*(1+$H$6)</f>
        <v>30.502844337476507</v>
      </c>
      <c r="I144" s="63">
        <f>H144*E144</f>
        <v>640.55973108700664</v>
      </c>
      <c r="J144" s="97"/>
      <c r="K144" s="238">
        <f t="shared" ref="K144:K147" si="25">I144/$I$186</f>
        <v>4.867128226017975E-5</v>
      </c>
      <c r="L144" s="1"/>
      <c r="M144" s="1"/>
      <c r="N144" s="1"/>
      <c r="O144" s="1"/>
      <c r="P144" s="1"/>
      <c r="Q144" s="1"/>
      <c r="R144" s="1"/>
      <c r="S144" s="1"/>
      <c r="T144" s="1"/>
      <c r="U144" s="1"/>
      <c r="V144" s="1"/>
      <c r="W144" s="1"/>
      <c r="X144" s="1"/>
    </row>
    <row r="145" spans="1:24" ht="25.5" customHeight="1" x14ac:dyDescent="0.2">
      <c r="A145" s="50" t="s">
        <v>399</v>
      </c>
      <c r="B145" s="127" t="s">
        <v>74</v>
      </c>
      <c r="C145" s="128" t="s">
        <v>848</v>
      </c>
      <c r="D145" s="131" t="s">
        <v>604</v>
      </c>
      <c r="E145" s="138">
        <f>'Memória de Cálculo'!J1785</f>
        <v>7</v>
      </c>
      <c r="F145" s="92" t="s">
        <v>52</v>
      </c>
      <c r="G145" s="55">
        <v>22.85</v>
      </c>
      <c r="H145" s="53">
        <f>G145*(1+$H$6)</f>
        <v>29.266848335559029</v>
      </c>
      <c r="I145" s="63">
        <f>H145*E145</f>
        <v>204.86793834891321</v>
      </c>
      <c r="J145" s="97"/>
      <c r="K145" s="238">
        <f t="shared" si="25"/>
        <v>1.5566362931557247E-5</v>
      </c>
      <c r="L145" s="1"/>
      <c r="M145" s="1"/>
      <c r="N145" s="1"/>
      <c r="O145" s="1"/>
      <c r="P145" s="1"/>
      <c r="Q145" s="1"/>
      <c r="R145" s="1"/>
      <c r="S145" s="1"/>
      <c r="T145" s="1"/>
      <c r="U145" s="1"/>
      <c r="V145" s="1"/>
      <c r="W145" s="1"/>
      <c r="X145" s="1"/>
    </row>
    <row r="146" spans="1:24" ht="25.5" customHeight="1" x14ac:dyDescent="0.2">
      <c r="A146" s="50" t="s">
        <v>400</v>
      </c>
      <c r="B146" s="127" t="s">
        <v>75</v>
      </c>
      <c r="C146" s="128" t="s">
        <v>848</v>
      </c>
      <c r="D146" s="131" t="s">
        <v>76</v>
      </c>
      <c r="E146" s="138">
        <f>'Memória de Cálculo'!J1789</f>
        <v>28</v>
      </c>
      <c r="F146" s="92" t="s">
        <v>52</v>
      </c>
      <c r="G146" s="55">
        <v>20.78</v>
      </c>
      <c r="H146" s="53">
        <f>G146*(1+$H$6)</f>
        <v>26.615540849580597</v>
      </c>
      <c r="I146" s="63">
        <f>H146*E146</f>
        <v>745.23514378825666</v>
      </c>
      <c r="J146" s="97"/>
      <c r="K146" s="238">
        <f t="shared" si="25"/>
        <v>5.6624774042496201E-5</v>
      </c>
      <c r="L146" s="1"/>
      <c r="M146" s="1"/>
      <c r="N146" s="1"/>
      <c r="O146" s="1"/>
      <c r="P146" s="1"/>
      <c r="Q146" s="1"/>
      <c r="R146" s="1"/>
      <c r="S146" s="1"/>
      <c r="T146" s="1"/>
      <c r="U146" s="1"/>
      <c r="V146" s="1"/>
      <c r="W146" s="1"/>
      <c r="X146" s="1"/>
    </row>
    <row r="147" spans="1:24" ht="25.5" customHeight="1" x14ac:dyDescent="0.2">
      <c r="A147" s="50" t="s">
        <v>401</v>
      </c>
      <c r="B147" s="127" t="str">
        <f>CPU!A16</f>
        <v>Comp - 002</v>
      </c>
      <c r="C147" s="127" t="str">
        <f>B147</f>
        <v>Comp - 002</v>
      </c>
      <c r="D147" s="131" t="s">
        <v>77</v>
      </c>
      <c r="E147" s="138">
        <f>'Memória de Cálculo'!J1793</f>
        <v>7</v>
      </c>
      <c r="F147" s="92" t="s">
        <v>52</v>
      </c>
      <c r="G147" s="55">
        <f>CPU!H16</f>
        <v>36.215000000000003</v>
      </c>
      <c r="H147" s="53">
        <f>G147*(1+$H$6)</f>
        <v>46.385072755898044</v>
      </c>
      <c r="I147" s="63">
        <f>H147*E147</f>
        <v>324.69550929128633</v>
      </c>
      <c r="J147" s="97"/>
      <c r="K147" s="238">
        <f t="shared" si="25"/>
        <v>2.4671152453669397E-5</v>
      </c>
      <c r="L147" s="1"/>
      <c r="M147" s="1"/>
      <c r="N147" s="1"/>
      <c r="O147" s="1"/>
      <c r="P147" s="1"/>
      <c r="Q147" s="1"/>
      <c r="R147" s="1"/>
      <c r="S147" s="1"/>
      <c r="T147" s="1"/>
      <c r="U147" s="1"/>
      <c r="V147" s="1"/>
      <c r="W147" s="1"/>
      <c r="X147" s="1"/>
    </row>
    <row r="148" spans="1:24" ht="16.5" customHeight="1" x14ac:dyDescent="0.2">
      <c r="A148" s="269" t="s">
        <v>16</v>
      </c>
      <c r="B148" s="266"/>
      <c r="C148" s="266"/>
      <c r="D148" s="299"/>
      <c r="E148" s="266"/>
      <c r="F148" s="266"/>
      <c r="G148" s="266"/>
      <c r="H148" s="266"/>
      <c r="I148" s="94">
        <f>SUM(I144:I147)</f>
        <v>1915.3583225154628</v>
      </c>
      <c r="J148" s="97"/>
      <c r="K148" s="1"/>
      <c r="L148" s="1"/>
      <c r="M148" s="1"/>
      <c r="N148" s="1"/>
      <c r="O148" s="1"/>
      <c r="P148" s="1"/>
      <c r="Q148" s="1"/>
      <c r="R148" s="1"/>
      <c r="S148" s="1"/>
      <c r="T148" s="1"/>
      <c r="U148" s="1"/>
      <c r="V148" s="1"/>
      <c r="W148" s="1"/>
      <c r="X148" s="1"/>
    </row>
    <row r="149" spans="1:24" ht="16.5" customHeight="1" x14ac:dyDescent="0.2">
      <c r="A149" s="57">
        <v>18</v>
      </c>
      <c r="B149" s="57"/>
      <c r="C149" s="57"/>
      <c r="D149" s="242" t="s">
        <v>79</v>
      </c>
      <c r="E149" s="69"/>
      <c r="F149" s="62"/>
      <c r="G149" s="62"/>
      <c r="H149" s="62"/>
      <c r="I149" s="70"/>
      <c r="J149" s="97"/>
      <c r="K149" s="1"/>
      <c r="L149" s="1"/>
      <c r="M149" s="1"/>
      <c r="N149" s="1"/>
      <c r="O149" s="1"/>
      <c r="P149" s="1"/>
      <c r="Q149" s="1"/>
      <c r="R149" s="1"/>
      <c r="S149" s="1"/>
      <c r="T149" s="1"/>
      <c r="U149" s="1"/>
      <c r="V149" s="1"/>
      <c r="W149" s="1"/>
      <c r="X149" s="1"/>
    </row>
    <row r="150" spans="1:24" ht="25.5" customHeight="1" x14ac:dyDescent="0.2">
      <c r="A150" s="50" t="s">
        <v>345</v>
      </c>
      <c r="B150" s="127" t="s">
        <v>82</v>
      </c>
      <c r="C150" s="128" t="s">
        <v>848</v>
      </c>
      <c r="D150" s="131" t="s">
        <v>605</v>
      </c>
      <c r="E150" s="138">
        <f>'Memória de Cálculo'!J1798</f>
        <v>196</v>
      </c>
      <c r="F150" s="92" t="s">
        <v>52</v>
      </c>
      <c r="G150" s="55">
        <v>69.08</v>
      </c>
      <c r="H150" s="53">
        <f t="shared" ref="H150:H164" si="26">G150*(1+$H$6)</f>
        <v>88.479382189077356</v>
      </c>
      <c r="I150" s="63">
        <f t="shared" ref="I150:I164" si="27">E150*H150</f>
        <v>17341.958909059162</v>
      </c>
      <c r="J150" s="97"/>
      <c r="K150" s="238">
        <f t="shared" ref="K150:K164" si="28">I150/$I$186</f>
        <v>1.3176841066404937E-3</v>
      </c>
      <c r="L150" s="1"/>
      <c r="M150" s="1"/>
      <c r="N150" s="1"/>
      <c r="O150" s="1"/>
      <c r="P150" s="1"/>
      <c r="Q150" s="1"/>
      <c r="R150" s="1"/>
      <c r="S150" s="1"/>
      <c r="T150" s="1"/>
      <c r="U150" s="1"/>
      <c r="V150" s="1"/>
      <c r="W150" s="1"/>
      <c r="X150" s="1"/>
    </row>
    <row r="151" spans="1:24" ht="25.5" customHeight="1" x14ac:dyDescent="0.2">
      <c r="A151" s="50" t="s">
        <v>346</v>
      </c>
      <c r="B151" s="127" t="s">
        <v>84</v>
      </c>
      <c r="C151" s="128" t="s">
        <v>848</v>
      </c>
      <c r="D151" s="131" t="s">
        <v>606</v>
      </c>
      <c r="E151" s="138">
        <f>'Memória de Cálculo'!J1802</f>
        <v>7</v>
      </c>
      <c r="F151" s="92" t="s">
        <v>52</v>
      </c>
      <c r="G151" s="55">
        <v>203.73</v>
      </c>
      <c r="H151" s="53">
        <f t="shared" si="26"/>
        <v>260.94245126492081</v>
      </c>
      <c r="I151" s="63">
        <f t="shared" si="27"/>
        <v>1826.5971588544458</v>
      </c>
      <c r="J151" s="97"/>
      <c r="K151" s="238">
        <f t="shared" si="28"/>
        <v>1.3878928315300471E-4</v>
      </c>
      <c r="L151" s="1"/>
      <c r="M151" s="1"/>
      <c r="N151" s="1"/>
      <c r="O151" s="1"/>
      <c r="P151" s="1"/>
      <c r="Q151" s="1"/>
      <c r="R151" s="1"/>
      <c r="S151" s="1"/>
      <c r="T151" s="1"/>
      <c r="U151" s="1"/>
      <c r="V151" s="1"/>
      <c r="W151" s="1"/>
      <c r="X151" s="1"/>
    </row>
    <row r="152" spans="1:24" ht="25.5" customHeight="1" x14ac:dyDescent="0.2">
      <c r="A152" s="50" t="s">
        <v>402</v>
      </c>
      <c r="B152" s="127" t="s">
        <v>86</v>
      </c>
      <c r="C152" s="128" t="s">
        <v>848</v>
      </c>
      <c r="D152" s="131" t="s">
        <v>607</v>
      </c>
      <c r="E152" s="138">
        <f>'Memória de Cálculo'!J1806</f>
        <v>840</v>
      </c>
      <c r="F152" s="50" t="s">
        <v>25</v>
      </c>
      <c r="G152" s="55">
        <v>42.72</v>
      </c>
      <c r="H152" s="53">
        <f t="shared" si="26"/>
        <v>54.716838551207069</v>
      </c>
      <c r="I152" s="63">
        <f t="shared" si="27"/>
        <v>45962.14438301394</v>
      </c>
      <c r="J152" s="97"/>
      <c r="K152" s="238">
        <f t="shared" si="28"/>
        <v>3.4923152267980328E-3</v>
      </c>
      <c r="L152" s="1"/>
      <c r="M152" s="1"/>
      <c r="N152" s="1"/>
      <c r="O152" s="1"/>
      <c r="P152" s="1"/>
      <c r="Q152" s="1"/>
      <c r="R152" s="1"/>
      <c r="S152" s="1"/>
      <c r="T152" s="1"/>
      <c r="U152" s="1"/>
      <c r="V152" s="1"/>
      <c r="W152" s="1"/>
      <c r="X152" s="1"/>
    </row>
    <row r="153" spans="1:24" ht="25.5" customHeight="1" x14ac:dyDescent="0.2">
      <c r="A153" s="50" t="s">
        <v>403</v>
      </c>
      <c r="B153" s="127" t="s">
        <v>94</v>
      </c>
      <c r="C153" s="128" t="s">
        <v>848</v>
      </c>
      <c r="D153" s="131" t="s">
        <v>608</v>
      </c>
      <c r="E153" s="138">
        <f>'Memória de Cálculo'!J1810</f>
        <v>7</v>
      </c>
      <c r="F153" s="92" t="s">
        <v>52</v>
      </c>
      <c r="G153" s="55">
        <v>25.33</v>
      </c>
      <c r="H153" s="53">
        <f t="shared" si="26"/>
        <v>32.443294019243332</v>
      </c>
      <c r="I153" s="63">
        <f t="shared" si="27"/>
        <v>227.10305813470333</v>
      </c>
      <c r="J153" s="97"/>
      <c r="K153" s="238">
        <f t="shared" si="28"/>
        <v>1.7255841271612472E-5</v>
      </c>
      <c r="L153" s="1"/>
      <c r="M153" s="1"/>
      <c r="N153" s="1"/>
      <c r="O153" s="1"/>
      <c r="P153" s="1"/>
      <c r="Q153" s="1"/>
      <c r="R153" s="1"/>
      <c r="S153" s="1"/>
      <c r="T153" s="1"/>
      <c r="U153" s="1"/>
      <c r="V153" s="1"/>
      <c r="W153" s="1"/>
      <c r="X153" s="1"/>
    </row>
    <row r="154" spans="1:24" ht="25.5" customHeight="1" x14ac:dyDescent="0.2">
      <c r="A154" s="50" t="s">
        <v>404</v>
      </c>
      <c r="B154" s="127" t="s">
        <v>90</v>
      </c>
      <c r="C154" s="128" t="s">
        <v>848</v>
      </c>
      <c r="D154" s="131" t="s">
        <v>609</v>
      </c>
      <c r="E154" s="138">
        <f>'Memória de Cálculo'!J1814</f>
        <v>105</v>
      </c>
      <c r="F154" s="92" t="s">
        <v>52</v>
      </c>
      <c r="G154" s="55">
        <v>178.68</v>
      </c>
      <c r="H154" s="53">
        <f t="shared" si="26"/>
        <v>228.85778820996441</v>
      </c>
      <c r="I154" s="63">
        <f t="shared" si="27"/>
        <v>24030.067762046263</v>
      </c>
      <c r="J154" s="97"/>
      <c r="K154" s="238">
        <f t="shared" si="28"/>
        <v>1.8258628415387188E-3</v>
      </c>
      <c r="L154" s="1"/>
      <c r="M154" s="1"/>
      <c r="N154" s="1"/>
      <c r="O154" s="1"/>
      <c r="P154" s="1"/>
      <c r="Q154" s="1"/>
      <c r="R154" s="1"/>
      <c r="S154" s="1"/>
      <c r="T154" s="1"/>
      <c r="U154" s="1"/>
      <c r="V154" s="1"/>
      <c r="W154" s="1"/>
      <c r="X154" s="1"/>
    </row>
    <row r="155" spans="1:24" ht="25.5" customHeight="1" x14ac:dyDescent="0.2">
      <c r="A155" s="50" t="s">
        <v>405</v>
      </c>
      <c r="B155" s="127" t="s">
        <v>92</v>
      </c>
      <c r="C155" s="129" t="s">
        <v>599</v>
      </c>
      <c r="D155" s="131" t="s">
        <v>610</v>
      </c>
      <c r="E155" s="138">
        <f>'Memória de Cálculo'!J1818</f>
        <v>70</v>
      </c>
      <c r="F155" s="92" t="s">
        <v>52</v>
      </c>
      <c r="G155" s="55">
        <v>22.36</v>
      </c>
      <c r="H155" s="53">
        <f t="shared" si="26"/>
        <v>28.639244148056886</v>
      </c>
      <c r="I155" s="63">
        <f t="shared" si="27"/>
        <v>2004.7470903639819</v>
      </c>
      <c r="J155" s="97"/>
      <c r="K155" s="238">
        <f t="shared" si="28"/>
        <v>1.5232554711143106E-4</v>
      </c>
      <c r="L155" s="1"/>
      <c r="M155" s="1"/>
      <c r="N155" s="1"/>
      <c r="O155" s="1"/>
      <c r="P155" s="1"/>
      <c r="Q155" s="1"/>
      <c r="R155" s="1"/>
      <c r="S155" s="1"/>
      <c r="T155" s="1"/>
      <c r="U155" s="1"/>
      <c r="V155" s="1"/>
      <c r="W155" s="1"/>
      <c r="X155" s="1"/>
    </row>
    <row r="156" spans="1:24" ht="25.5" customHeight="1" x14ac:dyDescent="0.2">
      <c r="A156" s="50" t="s">
        <v>406</v>
      </c>
      <c r="B156" s="127" t="s">
        <v>94</v>
      </c>
      <c r="C156" s="128" t="s">
        <v>848</v>
      </c>
      <c r="D156" s="131" t="s">
        <v>611</v>
      </c>
      <c r="E156" s="138">
        <f>'Memória de Cálculo'!J1822</f>
        <v>350</v>
      </c>
      <c r="F156" s="92" t="s">
        <v>52</v>
      </c>
      <c r="G156" s="55">
        <v>25.33</v>
      </c>
      <c r="H156" s="53">
        <f t="shared" si="26"/>
        <v>32.443294019243332</v>
      </c>
      <c r="I156" s="63">
        <f t="shared" si="27"/>
        <v>11355.152906735166</v>
      </c>
      <c r="J156" s="97"/>
      <c r="K156" s="238">
        <f t="shared" si="28"/>
        <v>8.6279206358062354E-4</v>
      </c>
      <c r="L156" s="1"/>
      <c r="M156" s="1"/>
      <c r="N156" s="1"/>
      <c r="O156" s="1"/>
      <c r="P156" s="1"/>
      <c r="Q156" s="1"/>
      <c r="R156" s="1"/>
      <c r="S156" s="1"/>
      <c r="T156" s="1"/>
      <c r="U156" s="1"/>
      <c r="V156" s="1"/>
      <c r="W156" s="1"/>
      <c r="X156" s="1"/>
    </row>
    <row r="157" spans="1:24" ht="25.5" customHeight="1" x14ac:dyDescent="0.2">
      <c r="A157" s="50" t="s">
        <v>407</v>
      </c>
      <c r="B157" s="127" t="s">
        <v>96</v>
      </c>
      <c r="C157" s="128" t="s">
        <v>848</v>
      </c>
      <c r="D157" s="131" t="s">
        <v>612</v>
      </c>
      <c r="E157" s="138">
        <f>'Memória de Cálculo'!J1826</f>
        <v>105</v>
      </c>
      <c r="F157" s="92" t="s">
        <v>52</v>
      </c>
      <c r="G157" s="55">
        <v>19.82</v>
      </c>
      <c r="H157" s="53">
        <f t="shared" si="26"/>
        <v>25.385948972025378</v>
      </c>
      <c r="I157" s="63">
        <f t="shared" si="27"/>
        <v>2665.524642062665</v>
      </c>
      <c r="J157" s="97"/>
      <c r="K157" s="238">
        <f t="shared" si="28"/>
        <v>2.02533028426782E-4</v>
      </c>
      <c r="L157" s="1"/>
      <c r="M157" s="1"/>
      <c r="N157" s="1"/>
      <c r="O157" s="1"/>
      <c r="P157" s="1"/>
      <c r="Q157" s="1"/>
      <c r="R157" s="1"/>
      <c r="S157" s="1"/>
      <c r="T157" s="1"/>
      <c r="U157" s="1"/>
      <c r="V157" s="1"/>
      <c r="W157" s="1"/>
      <c r="X157" s="1"/>
    </row>
    <row r="158" spans="1:24" ht="25.5" customHeight="1" x14ac:dyDescent="0.2">
      <c r="A158" s="50" t="s">
        <v>408</v>
      </c>
      <c r="B158" s="127" t="s">
        <v>98</v>
      </c>
      <c r="C158" s="128" t="s">
        <v>848</v>
      </c>
      <c r="D158" s="131" t="s">
        <v>613</v>
      </c>
      <c r="E158" s="138">
        <f>'Memória de Cálculo'!J1830</f>
        <v>560</v>
      </c>
      <c r="F158" s="92" t="s">
        <v>52</v>
      </c>
      <c r="G158" s="55">
        <v>21.32</v>
      </c>
      <c r="H158" s="53">
        <f t="shared" si="26"/>
        <v>27.307186280705402</v>
      </c>
      <c r="I158" s="63">
        <f t="shared" si="27"/>
        <v>15292.024317195024</v>
      </c>
      <c r="J158" s="97"/>
      <c r="K158" s="238">
        <f t="shared" si="28"/>
        <v>1.1619251035476601E-3</v>
      </c>
      <c r="L158" s="1"/>
      <c r="M158" s="1"/>
      <c r="N158" s="1"/>
      <c r="O158" s="1"/>
      <c r="P158" s="1"/>
      <c r="Q158" s="1"/>
      <c r="R158" s="1"/>
      <c r="S158" s="1"/>
      <c r="T158" s="1"/>
      <c r="U158" s="1"/>
      <c r="V158" s="1"/>
      <c r="W158" s="1"/>
      <c r="X158" s="1"/>
    </row>
    <row r="159" spans="1:24" ht="25.5" customHeight="1" x14ac:dyDescent="0.2">
      <c r="A159" s="50" t="s">
        <v>409</v>
      </c>
      <c r="B159" s="127" t="str">
        <f>CPU!A23</f>
        <v>Comp - 003</v>
      </c>
      <c r="C159" s="127" t="str">
        <f>B159</f>
        <v>Comp - 003</v>
      </c>
      <c r="D159" s="131" t="s">
        <v>614</v>
      </c>
      <c r="E159" s="138">
        <f>'Memória de Cálculo'!J1834</f>
        <v>112</v>
      </c>
      <c r="F159" s="92" t="s">
        <v>52</v>
      </c>
      <c r="G159" s="55">
        <f>CPU!H23</f>
        <v>38.08</v>
      </c>
      <c r="H159" s="53">
        <f t="shared" si="26"/>
        <v>48.773811143023529</v>
      </c>
      <c r="I159" s="63">
        <f t="shared" si="27"/>
        <v>5462.6668480186354</v>
      </c>
      <c r="J159" s="97"/>
      <c r="K159" s="238">
        <f t="shared" si="28"/>
        <v>4.1506667864066505E-4</v>
      </c>
      <c r="L159" s="1"/>
      <c r="M159" s="1"/>
      <c r="N159" s="1"/>
      <c r="O159" s="1"/>
      <c r="P159" s="1"/>
      <c r="Q159" s="1"/>
      <c r="R159" s="1"/>
      <c r="S159" s="1"/>
      <c r="T159" s="1"/>
      <c r="U159" s="1"/>
      <c r="V159" s="1"/>
      <c r="W159" s="1"/>
      <c r="X159" s="1"/>
    </row>
    <row r="160" spans="1:24" ht="25.5" customHeight="1" x14ac:dyDescent="0.2">
      <c r="A160" s="50" t="s">
        <v>410</v>
      </c>
      <c r="B160" s="127" t="str">
        <f>CPU!A30</f>
        <v>Comp - 004</v>
      </c>
      <c r="C160" s="127" t="str">
        <f t="shared" ref="C160:C164" si="29">B160</f>
        <v>Comp - 004</v>
      </c>
      <c r="D160" s="131" t="s">
        <v>615</v>
      </c>
      <c r="E160" s="138">
        <f>'Memória de Cálculo'!J1838</f>
        <v>448</v>
      </c>
      <c r="F160" s="92" t="s">
        <v>52</v>
      </c>
      <c r="G160" s="55">
        <f>CPU!H30</f>
        <v>82.33</v>
      </c>
      <c r="H160" s="53">
        <f t="shared" si="26"/>
        <v>105.45031174908422</v>
      </c>
      <c r="I160" s="63">
        <f t="shared" si="27"/>
        <v>47241.739663589731</v>
      </c>
      <c r="J160" s="97"/>
      <c r="K160" s="238">
        <f t="shared" si="28"/>
        <v>3.5895419803031463E-3</v>
      </c>
      <c r="L160" s="1"/>
      <c r="M160" s="1"/>
      <c r="N160" s="1"/>
      <c r="O160" s="1"/>
      <c r="P160" s="1"/>
      <c r="Q160" s="1"/>
      <c r="R160" s="1"/>
      <c r="S160" s="1"/>
      <c r="T160" s="1"/>
      <c r="U160" s="1"/>
      <c r="V160" s="1"/>
      <c r="W160" s="1"/>
      <c r="X160" s="1"/>
    </row>
    <row r="161" spans="1:24" ht="25.5" customHeight="1" x14ac:dyDescent="0.2">
      <c r="A161" s="50" t="s">
        <v>411</v>
      </c>
      <c r="B161" s="127" t="str">
        <f>CPU!A37</f>
        <v>Comp - 005</v>
      </c>
      <c r="C161" s="127" t="str">
        <f t="shared" si="29"/>
        <v>Comp - 005</v>
      </c>
      <c r="D161" s="131" t="s">
        <v>616</v>
      </c>
      <c r="E161" s="138">
        <f>'Memória de Cálculo'!J1842</f>
        <v>1400</v>
      </c>
      <c r="F161" s="92" t="s">
        <v>52</v>
      </c>
      <c r="G161" s="55">
        <f>CPU!H37</f>
        <v>19.773423999999999</v>
      </c>
      <c r="H161" s="53">
        <f t="shared" si="26"/>
        <v>25.326293272765991</v>
      </c>
      <c r="I161" s="63">
        <f t="shared" si="27"/>
        <v>35456.810581872385</v>
      </c>
      <c r="J161" s="97"/>
      <c r="K161" s="238">
        <f t="shared" si="28"/>
        <v>2.694094480381307E-3</v>
      </c>
      <c r="L161" s="1"/>
      <c r="M161" s="1"/>
      <c r="N161" s="1"/>
      <c r="O161" s="1"/>
      <c r="P161" s="1"/>
      <c r="Q161" s="1"/>
      <c r="R161" s="1"/>
      <c r="S161" s="1"/>
      <c r="T161" s="1"/>
      <c r="U161" s="1"/>
      <c r="V161" s="1"/>
      <c r="W161" s="1"/>
      <c r="X161" s="1"/>
    </row>
    <row r="162" spans="1:24" ht="25.5" customHeight="1" x14ac:dyDescent="0.2">
      <c r="A162" s="50" t="s">
        <v>412</v>
      </c>
      <c r="B162" s="127" t="str">
        <f>CPU!A44</f>
        <v>Comp - 006</v>
      </c>
      <c r="C162" s="127" t="str">
        <f t="shared" si="29"/>
        <v>Comp - 006</v>
      </c>
      <c r="D162" s="131" t="s">
        <v>617</v>
      </c>
      <c r="E162" s="138">
        <f>'Memória de Cálculo'!J1846</f>
        <v>1400</v>
      </c>
      <c r="F162" s="92" t="s">
        <v>52</v>
      </c>
      <c r="G162" s="55">
        <f>CPU!H44</f>
        <v>20.003423999999999</v>
      </c>
      <c r="H162" s="53">
        <f t="shared" si="26"/>
        <v>25.620882993430261</v>
      </c>
      <c r="I162" s="63">
        <f t="shared" si="27"/>
        <v>35869.236190802367</v>
      </c>
      <c r="J162" s="97"/>
      <c r="K162" s="238">
        <f t="shared" si="28"/>
        <v>2.7254315786242674E-3</v>
      </c>
      <c r="L162" s="1"/>
      <c r="M162" s="1"/>
      <c r="N162" s="1"/>
      <c r="O162" s="1"/>
      <c r="P162" s="1"/>
      <c r="Q162" s="1"/>
      <c r="R162" s="1"/>
      <c r="S162" s="1"/>
      <c r="T162" s="1"/>
      <c r="U162" s="1"/>
      <c r="V162" s="1"/>
      <c r="W162" s="1"/>
      <c r="X162" s="1"/>
    </row>
    <row r="163" spans="1:24" ht="25.5" customHeight="1" x14ac:dyDescent="0.2">
      <c r="A163" s="50" t="s">
        <v>413</v>
      </c>
      <c r="B163" s="127" t="str">
        <f>CPU!A51</f>
        <v>Comp - 007</v>
      </c>
      <c r="C163" s="127" t="str">
        <f t="shared" si="29"/>
        <v>Comp - 007</v>
      </c>
      <c r="D163" s="131" t="s">
        <v>618</v>
      </c>
      <c r="E163" s="138">
        <f>'Memória de Cálculo'!J1850</f>
        <v>1400</v>
      </c>
      <c r="F163" s="92" t="s">
        <v>52</v>
      </c>
      <c r="G163" s="55">
        <f>CPU!H51</f>
        <v>20.443423999999997</v>
      </c>
      <c r="H163" s="53">
        <f t="shared" si="26"/>
        <v>26.184445937309732</v>
      </c>
      <c r="I163" s="63">
        <f t="shared" si="27"/>
        <v>36658.224312233622</v>
      </c>
      <c r="J163" s="97"/>
      <c r="K163" s="238">
        <f t="shared" si="28"/>
        <v>2.785380810045581E-3</v>
      </c>
      <c r="L163" s="1"/>
      <c r="M163" s="1"/>
      <c r="N163" s="1"/>
      <c r="O163" s="1"/>
      <c r="P163" s="1"/>
      <c r="Q163" s="1"/>
      <c r="R163" s="1"/>
      <c r="S163" s="1"/>
      <c r="T163" s="1"/>
      <c r="U163" s="1"/>
      <c r="V163" s="1"/>
      <c r="W163" s="1"/>
      <c r="X163" s="1"/>
    </row>
    <row r="164" spans="1:24" ht="25.5" customHeight="1" x14ac:dyDescent="0.2">
      <c r="A164" s="50" t="s">
        <v>414</v>
      </c>
      <c r="B164" s="127" t="str">
        <f>CPU!A58</f>
        <v>Comp - 008</v>
      </c>
      <c r="C164" s="127" t="str">
        <f t="shared" si="29"/>
        <v>Comp - 008</v>
      </c>
      <c r="D164" s="131" t="s">
        <v>619</v>
      </c>
      <c r="E164" s="138">
        <f>'Memória de Cálculo'!J1854</f>
        <v>840</v>
      </c>
      <c r="F164" s="92" t="s">
        <v>52</v>
      </c>
      <c r="G164" s="55">
        <f>CPU!H58</f>
        <v>59.94</v>
      </c>
      <c r="H164" s="53">
        <f t="shared" si="26"/>
        <v>76.772642854853743</v>
      </c>
      <c r="I164" s="63">
        <f t="shared" si="27"/>
        <v>64489.019998077143</v>
      </c>
      <c r="J164" s="97"/>
      <c r="K164" s="238">
        <f t="shared" si="28"/>
        <v>4.900032179173083E-3</v>
      </c>
      <c r="L164" s="1"/>
      <c r="M164" s="1"/>
      <c r="N164" s="1"/>
      <c r="O164" s="1"/>
      <c r="P164" s="1"/>
      <c r="Q164" s="1"/>
      <c r="R164" s="1"/>
      <c r="S164" s="1"/>
      <c r="T164" s="1"/>
      <c r="U164" s="1"/>
      <c r="V164" s="1"/>
      <c r="W164" s="1"/>
      <c r="X164" s="1"/>
    </row>
    <row r="165" spans="1:24" ht="16.5" customHeight="1" x14ac:dyDescent="0.2">
      <c r="A165" s="269" t="s">
        <v>16</v>
      </c>
      <c r="B165" s="266"/>
      <c r="C165" s="266"/>
      <c r="D165" s="299"/>
      <c r="E165" s="266"/>
      <c r="F165" s="266"/>
      <c r="G165" s="266"/>
      <c r="H165" s="266"/>
      <c r="I165" s="67">
        <f>SUM(I150:I164)</f>
        <v>345883.01782205916</v>
      </c>
      <c r="J165" s="97"/>
      <c r="K165" s="1"/>
      <c r="L165" s="1"/>
      <c r="M165" s="1"/>
      <c r="N165" s="1"/>
      <c r="O165" s="1"/>
      <c r="P165" s="1"/>
      <c r="Q165" s="1"/>
      <c r="R165" s="1"/>
      <c r="S165" s="1"/>
      <c r="T165" s="1"/>
      <c r="U165" s="1"/>
      <c r="V165" s="1"/>
      <c r="W165" s="1"/>
      <c r="X165" s="1"/>
    </row>
    <row r="166" spans="1:24" ht="16.5" customHeight="1" x14ac:dyDescent="0.2">
      <c r="A166" s="57">
        <v>19</v>
      </c>
      <c r="B166" s="57"/>
      <c r="C166" s="57"/>
      <c r="D166" s="242" t="s">
        <v>229</v>
      </c>
      <c r="E166" s="69"/>
      <c r="F166" s="62"/>
      <c r="G166" s="62"/>
      <c r="H166" s="62"/>
      <c r="I166" s="70"/>
      <c r="J166" s="97"/>
      <c r="K166" s="1"/>
      <c r="L166" s="1"/>
      <c r="M166" s="1"/>
      <c r="N166" s="1"/>
      <c r="O166" s="1"/>
      <c r="P166" s="1"/>
      <c r="Q166" s="1"/>
      <c r="R166" s="1"/>
      <c r="S166" s="1"/>
      <c r="T166" s="1"/>
      <c r="U166" s="1"/>
      <c r="V166" s="1"/>
      <c r="W166" s="1"/>
      <c r="X166" s="1"/>
    </row>
    <row r="167" spans="1:24" ht="25.5" customHeight="1" x14ac:dyDescent="0.2">
      <c r="A167" s="122" t="s">
        <v>347</v>
      </c>
      <c r="B167" s="127" t="str">
        <f>[3]Relatório!$A$1611</f>
        <v>ED-17952</v>
      </c>
      <c r="C167" s="128" t="s">
        <v>848</v>
      </c>
      <c r="D167" s="131" t="s">
        <v>620</v>
      </c>
      <c r="E167" s="138">
        <f>'Memória de Cálculo'!J1859</f>
        <v>3150</v>
      </c>
      <c r="F167" s="92" t="s">
        <v>25</v>
      </c>
      <c r="G167" s="55">
        <v>5.86</v>
      </c>
      <c r="H167" s="53">
        <f t="shared" ref="H167:H173" si="30">G167*(1+$H$6)</f>
        <v>7.5056337525766263</v>
      </c>
      <c r="I167" s="63">
        <f t="shared" ref="I167:I172" si="31">E167*H167</f>
        <v>23642.746320616374</v>
      </c>
      <c r="J167" s="97"/>
      <c r="K167" s="238">
        <f t="shared" ref="K167:K173" si="32">I167/$I$186</f>
        <v>1.7964332188409827E-3</v>
      </c>
      <c r="L167" s="1"/>
      <c r="M167" s="1"/>
      <c r="N167" s="1"/>
      <c r="O167" s="1"/>
      <c r="P167" s="1"/>
      <c r="Q167" s="1"/>
      <c r="R167" s="1"/>
      <c r="S167" s="1"/>
      <c r="T167" s="1"/>
      <c r="U167" s="1"/>
      <c r="V167" s="1"/>
      <c r="W167" s="1"/>
      <c r="X167" s="1"/>
    </row>
    <row r="168" spans="1:24" ht="25.5" customHeight="1" x14ac:dyDescent="0.2">
      <c r="A168" s="217" t="s">
        <v>348</v>
      </c>
      <c r="B168" s="218" t="s">
        <v>212</v>
      </c>
      <c r="C168" s="128" t="s">
        <v>848</v>
      </c>
      <c r="D168" s="219" t="s">
        <v>580</v>
      </c>
      <c r="E168" s="220">
        <f>'Memória de Cálculo'!J1863</f>
        <v>336</v>
      </c>
      <c r="F168" s="221" t="s">
        <v>52</v>
      </c>
      <c r="G168" s="222">
        <v>8.83</v>
      </c>
      <c r="H168" s="223">
        <f t="shared" si="30"/>
        <v>11.309683623763073</v>
      </c>
      <c r="I168" s="224">
        <f t="shared" si="31"/>
        <v>3800.0536975843925</v>
      </c>
      <c r="J168" s="97"/>
      <c r="K168" s="238">
        <f t="shared" si="32"/>
        <v>2.8873729824556774E-4</v>
      </c>
      <c r="L168" s="1"/>
      <c r="M168" s="1"/>
      <c r="N168" s="1"/>
      <c r="O168" s="1"/>
      <c r="P168" s="1"/>
      <c r="Q168" s="1"/>
      <c r="R168" s="1"/>
      <c r="S168" s="1"/>
      <c r="T168" s="1"/>
      <c r="U168" s="1"/>
      <c r="V168" s="1"/>
      <c r="W168" s="1"/>
      <c r="X168" s="1"/>
    </row>
    <row r="169" spans="1:24" ht="25.5" customHeight="1" x14ac:dyDescent="0.2">
      <c r="A169" s="122" t="s">
        <v>349</v>
      </c>
      <c r="B169" s="127" t="s">
        <v>110</v>
      </c>
      <c r="C169" s="128" t="s">
        <v>848</v>
      </c>
      <c r="D169" s="131" t="s">
        <v>621</v>
      </c>
      <c r="E169" s="138">
        <f>'Memória de Cálculo'!J1867</f>
        <v>1400</v>
      </c>
      <c r="F169" s="50" t="s">
        <v>25</v>
      </c>
      <c r="G169" s="55">
        <v>12.53</v>
      </c>
      <c r="H169" s="53">
        <f t="shared" si="30"/>
        <v>16.048735651840463</v>
      </c>
      <c r="I169" s="63">
        <f t="shared" si="31"/>
        <v>22468.229912576648</v>
      </c>
      <c r="J169" s="97"/>
      <c r="K169" s="238">
        <f t="shared" si="32"/>
        <v>1.7071906129751619E-3</v>
      </c>
      <c r="L169" s="1"/>
      <c r="M169" s="1"/>
      <c r="N169" s="1"/>
      <c r="O169" s="1"/>
      <c r="P169" s="1"/>
      <c r="Q169" s="1"/>
      <c r="R169" s="1"/>
      <c r="S169" s="1"/>
      <c r="T169" s="1"/>
      <c r="U169" s="1"/>
      <c r="V169" s="1"/>
      <c r="W169" s="1"/>
      <c r="X169" s="1"/>
    </row>
    <row r="170" spans="1:24" s="29" customFormat="1" ht="25.5" customHeight="1" x14ac:dyDescent="0.2">
      <c r="A170" s="122" t="s">
        <v>350</v>
      </c>
      <c r="B170" s="127" t="str">
        <f>[3]Relatório!$A$1406</f>
        <v>ED-49148</v>
      </c>
      <c r="C170" s="128" t="s">
        <v>848</v>
      </c>
      <c r="D170" s="132" t="s">
        <v>622</v>
      </c>
      <c r="E170" s="145">
        <f>'Memória de Cálculo'!J1871</f>
        <v>84</v>
      </c>
      <c r="F170" s="92" t="s">
        <v>52</v>
      </c>
      <c r="G170" s="65">
        <v>104.31</v>
      </c>
      <c r="H170" s="53">
        <f t="shared" si="30"/>
        <v>133.60284244560884</v>
      </c>
      <c r="I170" s="66">
        <f t="shared" si="31"/>
        <v>11222.638765431142</v>
      </c>
      <c r="J170" s="100"/>
      <c r="K170" s="238">
        <f t="shared" si="32"/>
        <v>8.5272331766690732E-4</v>
      </c>
      <c r="L170" s="28"/>
      <c r="M170" s="28"/>
      <c r="N170" s="28"/>
      <c r="O170" s="28"/>
      <c r="P170" s="28"/>
      <c r="Q170" s="28"/>
      <c r="R170" s="28"/>
      <c r="S170" s="28"/>
      <c r="T170" s="28"/>
      <c r="U170" s="28"/>
      <c r="V170" s="28"/>
      <c r="W170" s="28"/>
      <c r="X170" s="28"/>
    </row>
    <row r="171" spans="1:24" s="29" customFormat="1" ht="25.5" customHeight="1" x14ac:dyDescent="0.2">
      <c r="A171" s="122" t="s">
        <v>415</v>
      </c>
      <c r="B171" s="127" t="s">
        <v>867</v>
      </c>
      <c r="C171" s="128" t="s">
        <v>848</v>
      </c>
      <c r="D171" s="132" t="s">
        <v>866</v>
      </c>
      <c r="E171" s="145">
        <f>'Memória de Cálculo'!J1875</f>
        <v>112</v>
      </c>
      <c r="F171" s="92" t="s">
        <v>52</v>
      </c>
      <c r="G171" s="65">
        <v>10.33</v>
      </c>
      <c r="H171" s="53">
        <f t="shared" ref="H171" si="33">G171*(1+$H$6)</f>
        <v>13.230920932443096</v>
      </c>
      <c r="I171" s="66">
        <f t="shared" ref="I171" si="34">E171*H171</f>
        <v>1481.8631444336268</v>
      </c>
      <c r="J171" s="100"/>
      <c r="K171" s="238">
        <f t="shared" si="32"/>
        <v>1.1259555646948715E-4</v>
      </c>
      <c r="L171" s="28"/>
      <c r="M171" s="28"/>
      <c r="N171" s="28"/>
      <c r="O171" s="28"/>
      <c r="P171" s="28"/>
      <c r="Q171" s="28"/>
      <c r="R171" s="28"/>
      <c r="S171" s="28"/>
      <c r="T171" s="28"/>
      <c r="U171" s="28"/>
      <c r="V171" s="28"/>
      <c r="W171" s="28"/>
      <c r="X171" s="28"/>
    </row>
    <row r="172" spans="1:24" s="29" customFormat="1" ht="25.5" customHeight="1" x14ac:dyDescent="0.2">
      <c r="A172" s="122" t="s">
        <v>416</v>
      </c>
      <c r="B172" s="218" t="s">
        <v>868</v>
      </c>
      <c r="C172" s="128" t="s">
        <v>848</v>
      </c>
      <c r="D172" s="219" t="s">
        <v>869</v>
      </c>
      <c r="E172" s="180">
        <f>'Memória de Cálculo'!J1879</f>
        <v>112</v>
      </c>
      <c r="F172" s="221" t="s">
        <v>52</v>
      </c>
      <c r="G172" s="225">
        <v>12.24</v>
      </c>
      <c r="H172" s="223">
        <f t="shared" si="30"/>
        <v>15.677296438828993</v>
      </c>
      <c r="I172" s="226">
        <f t="shared" si="31"/>
        <v>1755.8572011488473</v>
      </c>
      <c r="J172" s="100"/>
      <c r="K172" s="238">
        <f t="shared" si="32"/>
        <v>1.3341428956307092E-4</v>
      </c>
      <c r="L172" s="28"/>
      <c r="M172" s="28"/>
      <c r="N172" s="28"/>
      <c r="O172" s="28"/>
      <c r="P172" s="28"/>
      <c r="Q172" s="28"/>
      <c r="R172" s="28"/>
      <c r="S172" s="28"/>
      <c r="T172" s="28"/>
      <c r="U172" s="28"/>
      <c r="V172" s="28"/>
      <c r="W172" s="28"/>
      <c r="X172" s="28"/>
    </row>
    <row r="173" spans="1:24" s="228" customFormat="1" ht="25.5" customHeight="1" x14ac:dyDescent="0.2">
      <c r="A173" s="217" t="s">
        <v>417</v>
      </c>
      <c r="B173" s="218" t="str">
        <f>[3]Relatório!$A$1493</f>
        <v>ED-15753</v>
      </c>
      <c r="C173" s="128" t="s">
        <v>848</v>
      </c>
      <c r="D173" s="219" t="s">
        <v>623</v>
      </c>
      <c r="E173" s="180">
        <f>'Memória de Cálculo'!J1883</f>
        <v>112</v>
      </c>
      <c r="F173" s="221" t="s">
        <v>52</v>
      </c>
      <c r="G173" s="225">
        <v>27.03</v>
      </c>
      <c r="H173" s="223">
        <f t="shared" si="30"/>
        <v>34.620696302414025</v>
      </c>
      <c r="I173" s="226">
        <f>E173*H173</f>
        <v>3877.5179858703709</v>
      </c>
      <c r="J173" s="227"/>
      <c r="K173" s="238">
        <f t="shared" si="32"/>
        <v>2.9462322278511494E-4</v>
      </c>
      <c r="L173" s="227"/>
      <c r="M173" s="227"/>
      <c r="N173" s="227"/>
      <c r="O173" s="227"/>
      <c r="P173" s="227"/>
      <c r="Q173" s="227"/>
      <c r="R173" s="227"/>
      <c r="S173" s="227"/>
      <c r="T173" s="227"/>
      <c r="U173" s="227"/>
      <c r="V173" s="227"/>
      <c r="W173" s="227"/>
      <c r="X173" s="227"/>
    </row>
    <row r="174" spans="1:24" ht="16.5" customHeight="1" x14ac:dyDescent="0.2">
      <c r="A174" s="269" t="s">
        <v>16</v>
      </c>
      <c r="B174" s="266"/>
      <c r="C174" s="266"/>
      <c r="D174" s="299"/>
      <c r="E174" s="266"/>
      <c r="F174" s="266"/>
      <c r="G174" s="266"/>
      <c r="H174" s="266"/>
      <c r="I174" s="67">
        <f>SUM(I167:I173)</f>
        <v>68248.907027661407</v>
      </c>
      <c r="J174" s="97"/>
      <c r="K174" s="1"/>
      <c r="L174" s="1"/>
      <c r="M174" s="1"/>
      <c r="N174" s="1"/>
      <c r="O174" s="1"/>
      <c r="P174" s="1"/>
      <c r="Q174" s="1"/>
      <c r="R174" s="1"/>
      <c r="S174" s="1"/>
      <c r="T174" s="1"/>
      <c r="U174" s="1"/>
      <c r="V174" s="1"/>
      <c r="W174" s="1"/>
      <c r="X174" s="1"/>
    </row>
    <row r="175" spans="1:24" ht="16.5" customHeight="1" x14ac:dyDescent="0.2">
      <c r="A175" s="57">
        <v>20</v>
      </c>
      <c r="B175" s="58"/>
      <c r="C175" s="58"/>
      <c r="D175" s="242" t="s">
        <v>278</v>
      </c>
      <c r="E175" s="59"/>
      <c r="F175" s="59"/>
      <c r="G175" s="59"/>
      <c r="H175" s="59"/>
      <c r="I175" s="59"/>
      <c r="J175" s="97"/>
      <c r="K175" s="1"/>
      <c r="L175" s="1"/>
      <c r="M175" s="1"/>
      <c r="N175" s="1"/>
      <c r="O175" s="1"/>
      <c r="P175" s="1"/>
      <c r="Q175" s="1"/>
      <c r="R175" s="1"/>
      <c r="S175" s="1"/>
      <c r="T175" s="1"/>
      <c r="U175" s="1"/>
      <c r="V175" s="1"/>
      <c r="W175" s="1"/>
      <c r="X175" s="1"/>
    </row>
    <row r="176" spans="1:24" ht="25.5" customHeight="1" x14ac:dyDescent="0.2">
      <c r="A176" s="50" t="s">
        <v>418</v>
      </c>
      <c r="B176" s="127" t="s">
        <v>328</v>
      </c>
      <c r="C176" s="128" t="s">
        <v>848</v>
      </c>
      <c r="D176" s="131" t="s">
        <v>870</v>
      </c>
      <c r="E176" s="138">
        <f>'Memória de Cálculo'!J1889</f>
        <v>266.07</v>
      </c>
      <c r="F176" s="68" t="s">
        <v>25</v>
      </c>
      <c r="G176" s="52">
        <v>91.63</v>
      </c>
      <c r="H176" s="53">
        <f>G176*(1+$H$6)</f>
        <v>117.36198306290036</v>
      </c>
      <c r="I176" s="52">
        <f>E176*H176</f>
        <v>31226.502833545899</v>
      </c>
      <c r="J176" s="97"/>
      <c r="K176" s="238">
        <f t="shared" ref="K176:K180" si="35">I176/$I$186</f>
        <v>2.3726654356350375E-3</v>
      </c>
      <c r="L176" s="1"/>
      <c r="M176" s="1"/>
      <c r="N176" s="1"/>
      <c r="O176" s="1"/>
      <c r="P176" s="1"/>
      <c r="Q176" s="1"/>
      <c r="R176" s="1"/>
      <c r="S176" s="1"/>
      <c r="T176" s="1"/>
      <c r="U176" s="1"/>
      <c r="V176" s="1"/>
      <c r="W176" s="1"/>
      <c r="X176" s="1"/>
    </row>
    <row r="177" spans="1:24" ht="25.5" customHeight="1" x14ac:dyDescent="0.2">
      <c r="A177" s="50" t="s">
        <v>419</v>
      </c>
      <c r="B177" s="127" t="s">
        <v>329</v>
      </c>
      <c r="C177" s="128" t="s">
        <v>848</v>
      </c>
      <c r="D177" s="131" t="s">
        <v>624</v>
      </c>
      <c r="E177" s="138">
        <f>'Memória de Cálculo'!J1895</f>
        <v>1281.252</v>
      </c>
      <c r="F177" s="68" t="s">
        <v>173</v>
      </c>
      <c r="G177" s="52">
        <v>79.400000000000006</v>
      </c>
      <c r="H177" s="53">
        <f>G177*(1+$H$6)</f>
        <v>101.69749487279593</v>
      </c>
      <c r="I177" s="52">
        <f>E177*H177</f>
        <v>130300.11870075953</v>
      </c>
      <c r="J177" s="97"/>
      <c r="K177" s="238">
        <f t="shared" si="35"/>
        <v>9.9005191054668124E-3</v>
      </c>
      <c r="L177" s="1"/>
      <c r="M177" s="1"/>
      <c r="N177" s="1"/>
      <c r="O177" s="1"/>
      <c r="P177" s="1"/>
      <c r="Q177" s="1"/>
      <c r="R177" s="1"/>
      <c r="S177" s="1"/>
      <c r="T177" s="1"/>
      <c r="U177" s="1"/>
      <c r="V177" s="1"/>
      <c r="W177" s="1"/>
      <c r="X177" s="1"/>
    </row>
    <row r="178" spans="1:24" ht="25.5" customHeight="1" x14ac:dyDescent="0.2">
      <c r="A178" s="50" t="s">
        <v>424</v>
      </c>
      <c r="B178" s="127" t="s">
        <v>330</v>
      </c>
      <c r="C178" s="128" t="s">
        <v>848</v>
      </c>
      <c r="D178" s="131" t="s">
        <v>625</v>
      </c>
      <c r="E178" s="138">
        <f>'Memória de Cálculo'!J1901</f>
        <v>1281.252</v>
      </c>
      <c r="F178" s="68" t="s">
        <v>173</v>
      </c>
      <c r="G178" s="52">
        <v>103.17</v>
      </c>
      <c r="H178" s="53">
        <f>G178*(1+$H$6)</f>
        <v>132.14270209101204</v>
      </c>
      <c r="I178" s="52">
        <f>E178*H178</f>
        <v>169308.10133951335</v>
      </c>
      <c r="J178" s="97"/>
      <c r="K178" s="239">
        <f t="shared" si="35"/>
        <v>1.2864440253287292E-2</v>
      </c>
      <c r="L178" s="1"/>
      <c r="M178" s="1">
        <f>E178/2</f>
        <v>640.62599999999998</v>
      </c>
      <c r="N178" s="1"/>
      <c r="O178" s="1"/>
      <c r="P178" s="1"/>
      <c r="Q178" s="1"/>
      <c r="R178" s="1"/>
      <c r="S178" s="1"/>
      <c r="T178" s="1"/>
      <c r="U178" s="1"/>
      <c r="V178" s="1"/>
      <c r="W178" s="1"/>
      <c r="X178" s="1"/>
    </row>
    <row r="179" spans="1:24" ht="25.5" customHeight="1" x14ac:dyDescent="0.2">
      <c r="A179" s="50" t="s">
        <v>425</v>
      </c>
      <c r="B179" s="127" t="s">
        <v>331</v>
      </c>
      <c r="C179" s="128" t="s">
        <v>848</v>
      </c>
      <c r="D179" s="131" t="s">
        <v>626</v>
      </c>
      <c r="E179" s="138">
        <f>'Memória de Cálculo'!J1906</f>
        <v>266.07</v>
      </c>
      <c r="F179" s="68" t="s">
        <v>25</v>
      </c>
      <c r="G179" s="52">
        <v>40.32</v>
      </c>
      <c r="H179" s="53">
        <f>G179*(1+$H$6)</f>
        <v>51.642858857319034</v>
      </c>
      <c r="I179" s="52">
        <f>E179*H179</f>
        <v>13740.615456166875</v>
      </c>
      <c r="J179" s="97"/>
      <c r="K179" s="238">
        <f t="shared" si="35"/>
        <v>1.0440452948248906E-3</v>
      </c>
      <c r="L179" s="1"/>
      <c r="M179" s="1"/>
      <c r="N179" s="1"/>
      <c r="O179" s="1"/>
      <c r="P179" s="1"/>
      <c r="Q179" s="1"/>
      <c r="R179" s="1"/>
      <c r="S179" s="1"/>
      <c r="T179" s="1"/>
      <c r="U179" s="1"/>
      <c r="V179" s="1"/>
      <c r="W179" s="1"/>
      <c r="X179" s="1"/>
    </row>
    <row r="180" spans="1:24" ht="25.5" customHeight="1" x14ac:dyDescent="0.2">
      <c r="A180" s="50" t="s">
        <v>426</v>
      </c>
      <c r="B180" s="127" t="s">
        <v>327</v>
      </c>
      <c r="C180" s="128" t="s">
        <v>848</v>
      </c>
      <c r="D180" s="131" t="s">
        <v>627</v>
      </c>
      <c r="E180" s="138">
        <f>'Memória de Cálculo'!J1911</f>
        <v>693.84000000000015</v>
      </c>
      <c r="F180" s="68" t="s">
        <v>25</v>
      </c>
      <c r="G180" s="52">
        <v>59.44</v>
      </c>
      <c r="H180" s="53">
        <f>G180*(1+$H$6)</f>
        <v>76.13223041862706</v>
      </c>
      <c r="I180" s="52">
        <f>E180*H180</f>
        <v>52823.586753660209</v>
      </c>
      <c r="J180" s="97"/>
      <c r="K180" s="238">
        <f t="shared" si="35"/>
        <v>4.0136642628465086E-3</v>
      </c>
      <c r="L180" s="1"/>
      <c r="M180" s="1"/>
      <c r="N180" s="1"/>
      <c r="O180" s="1"/>
      <c r="P180" s="1"/>
      <c r="Q180" s="1"/>
      <c r="R180" s="1"/>
      <c r="S180" s="1"/>
      <c r="T180" s="1"/>
      <c r="U180" s="1"/>
      <c r="V180" s="1"/>
      <c r="W180" s="1"/>
      <c r="X180" s="1"/>
    </row>
    <row r="181" spans="1:24" ht="16.5" customHeight="1" x14ac:dyDescent="0.2">
      <c r="A181" s="269" t="s">
        <v>16</v>
      </c>
      <c r="B181" s="266"/>
      <c r="C181" s="266"/>
      <c r="D181" s="299"/>
      <c r="E181" s="266"/>
      <c r="F181" s="266"/>
      <c r="G181" s="266"/>
      <c r="H181" s="266"/>
      <c r="I181" s="56">
        <f>SUM(I176:I180)</f>
        <v>397398.92508364585</v>
      </c>
      <c r="J181" s="97"/>
      <c r="K181" s="1"/>
      <c r="L181" s="1"/>
      <c r="M181" s="1"/>
      <c r="N181" s="1"/>
      <c r="O181" s="1"/>
      <c r="P181" s="1"/>
      <c r="Q181" s="1"/>
      <c r="R181" s="1"/>
      <c r="S181" s="1"/>
      <c r="T181" s="1"/>
      <c r="U181" s="1"/>
      <c r="V181" s="1"/>
      <c r="W181" s="1"/>
      <c r="X181" s="1"/>
    </row>
    <row r="182" spans="1:24" ht="16.5" customHeight="1" x14ac:dyDescent="0.2">
      <c r="A182" s="57">
        <v>21</v>
      </c>
      <c r="B182" s="57"/>
      <c r="C182" s="57"/>
      <c r="D182" s="242" t="s">
        <v>188</v>
      </c>
      <c r="E182" s="69"/>
      <c r="F182" s="62"/>
      <c r="G182" s="62"/>
      <c r="H182" s="62"/>
      <c r="I182" s="70"/>
      <c r="J182" s="97"/>
      <c r="K182" s="1"/>
      <c r="L182" s="1"/>
      <c r="M182" s="1"/>
      <c r="N182" s="1"/>
      <c r="O182" s="1"/>
      <c r="P182" s="1"/>
      <c r="Q182" s="1"/>
      <c r="R182" s="1"/>
      <c r="S182" s="1"/>
      <c r="T182" s="1"/>
      <c r="U182" s="1"/>
      <c r="V182" s="1"/>
      <c r="W182" s="1"/>
      <c r="X182" s="1"/>
    </row>
    <row r="183" spans="1:24" ht="25.5" customHeight="1" x14ac:dyDescent="0.2">
      <c r="A183" s="122" t="s">
        <v>351</v>
      </c>
      <c r="B183" s="127" t="s">
        <v>353</v>
      </c>
      <c r="C183" s="128" t="s">
        <v>848</v>
      </c>
      <c r="D183" s="140" t="s">
        <v>628</v>
      </c>
      <c r="E183" s="138">
        <f>'Memória de Cálculo'!J1918</f>
        <v>286.23</v>
      </c>
      <c r="F183" s="50" t="s">
        <v>25</v>
      </c>
      <c r="G183" s="64">
        <v>225.27</v>
      </c>
      <c r="H183" s="53">
        <f>G183*(1+$H$6)</f>
        <v>288.53141901756595</v>
      </c>
      <c r="I183" s="66">
        <f>E183*H183</f>
        <v>82586.348065397906</v>
      </c>
      <c r="J183" s="97"/>
      <c r="K183" s="238">
        <f t="shared" ref="K183:K184" si="36">I183/$I$186</f>
        <v>6.2751110668592038E-3</v>
      </c>
      <c r="L183" s="1"/>
      <c r="M183" s="1"/>
      <c r="N183" s="1"/>
      <c r="O183" s="1"/>
      <c r="P183" s="1"/>
      <c r="Q183" s="1"/>
      <c r="R183" s="1"/>
      <c r="S183" s="1"/>
      <c r="T183" s="1"/>
      <c r="U183" s="1"/>
      <c r="V183" s="1"/>
      <c r="W183" s="1"/>
      <c r="X183" s="1"/>
    </row>
    <row r="184" spans="1:24" ht="25.5" customHeight="1" x14ac:dyDescent="0.2">
      <c r="A184" s="122" t="s">
        <v>352</v>
      </c>
      <c r="B184" s="127" t="s">
        <v>354</v>
      </c>
      <c r="C184" s="128" t="s">
        <v>848</v>
      </c>
      <c r="D184" s="140" t="s">
        <v>629</v>
      </c>
      <c r="E184" s="138">
        <f>'Memória de Cálculo'!J1927</f>
        <v>466.76349999999996</v>
      </c>
      <c r="F184" s="50" t="s">
        <v>173</v>
      </c>
      <c r="G184" s="64">
        <v>67.239999999999995</v>
      </c>
      <c r="H184" s="53">
        <f>G184*(1+$H$6)</f>
        <v>86.122664423763183</v>
      </c>
      <c r="I184" s="66">
        <f>E184*H184</f>
        <v>40198.916275761185</v>
      </c>
      <c r="J184" s="97"/>
      <c r="K184" s="238">
        <f t="shared" si="36"/>
        <v>3.0544111745687496E-3</v>
      </c>
      <c r="L184" s="1"/>
      <c r="M184" s="1"/>
      <c r="N184" s="1"/>
      <c r="O184" s="1"/>
      <c r="P184" s="1"/>
      <c r="Q184" s="1"/>
      <c r="R184" s="1"/>
      <c r="S184" s="1"/>
      <c r="T184" s="1"/>
      <c r="U184" s="1"/>
      <c r="V184" s="1"/>
      <c r="W184" s="1"/>
      <c r="X184" s="1"/>
    </row>
    <row r="185" spans="1:24" ht="16.5" customHeight="1" x14ac:dyDescent="0.2">
      <c r="A185" s="269" t="s">
        <v>16</v>
      </c>
      <c r="B185" s="266"/>
      <c r="C185" s="266"/>
      <c r="D185" s="299"/>
      <c r="E185" s="266"/>
      <c r="F185" s="266"/>
      <c r="G185" s="266"/>
      <c r="H185" s="266"/>
      <c r="I185" s="67">
        <f>SUM(I183:I184)</f>
        <v>122785.26434115908</v>
      </c>
      <c r="J185" s="97"/>
      <c r="K185" s="1"/>
      <c r="L185" s="1"/>
      <c r="M185" s="1"/>
      <c r="N185" s="1"/>
      <c r="O185" s="1"/>
      <c r="P185" s="1"/>
      <c r="Q185" s="1"/>
      <c r="R185" s="1"/>
      <c r="S185" s="1"/>
      <c r="T185" s="1"/>
      <c r="U185" s="1"/>
      <c r="V185" s="1"/>
      <c r="W185" s="1"/>
      <c r="X185" s="1"/>
    </row>
    <row r="186" spans="1:24" ht="16.5" customHeight="1" x14ac:dyDescent="0.2">
      <c r="A186" s="314" t="s">
        <v>648</v>
      </c>
      <c r="B186" s="315"/>
      <c r="C186" s="315"/>
      <c r="D186" s="315"/>
      <c r="E186" s="315"/>
      <c r="F186" s="315"/>
      <c r="G186" s="315"/>
      <c r="H186" s="315"/>
      <c r="I186" s="146">
        <f>I12+I16+I23+I26+I29+I42+I46+I60+I65+I82+I90+I97+I112+I135+I138+I141+I148+I165+I174+I181+I185</f>
        <v>13160938.059178246</v>
      </c>
      <c r="J186" s="97"/>
      <c r="K186" s="1"/>
      <c r="L186" s="1"/>
      <c r="M186" s="1"/>
      <c r="N186" s="1"/>
      <c r="O186" s="1"/>
      <c r="P186" s="1"/>
      <c r="Q186" s="1"/>
      <c r="R186" s="1"/>
      <c r="S186" s="1"/>
      <c r="T186" s="1"/>
      <c r="U186" s="1"/>
      <c r="V186" s="1"/>
      <c r="W186" s="1"/>
      <c r="X186" s="1"/>
    </row>
    <row r="187" spans="1:24" ht="16.5" customHeight="1" x14ac:dyDescent="0.2">
      <c r="A187" s="308" t="s">
        <v>114</v>
      </c>
      <c r="B187" s="309"/>
      <c r="C187" s="309"/>
      <c r="D187" s="309"/>
      <c r="E187" s="309"/>
      <c r="F187" s="309"/>
      <c r="G187" s="309"/>
      <c r="H187" s="309"/>
      <c r="I187" s="310"/>
      <c r="J187" s="97"/>
      <c r="K187" s="1"/>
      <c r="L187" s="1"/>
      <c r="M187" s="1"/>
      <c r="N187" s="1"/>
      <c r="O187" s="1"/>
      <c r="P187" s="1"/>
      <c r="Q187" s="1"/>
      <c r="R187" s="1"/>
      <c r="S187" s="1"/>
      <c r="T187" s="1"/>
      <c r="U187" s="1"/>
      <c r="V187" s="1"/>
      <c r="W187" s="1"/>
      <c r="X187" s="1"/>
    </row>
    <row r="188" spans="1:24" ht="16.5" customHeight="1" x14ac:dyDescent="0.2">
      <c r="A188" s="300" t="s">
        <v>430</v>
      </c>
      <c r="B188" s="303"/>
      <c r="C188" s="303"/>
      <c r="D188" s="303"/>
      <c r="E188" s="303"/>
      <c r="F188" s="303"/>
      <c r="G188" s="303"/>
      <c r="H188" s="303"/>
      <c r="I188" s="304"/>
      <c r="J188" s="97"/>
      <c r="K188" s="1"/>
      <c r="L188" s="1"/>
      <c r="M188" s="1"/>
      <c r="N188" s="1"/>
      <c r="O188" s="1"/>
      <c r="P188" s="1"/>
      <c r="Q188" s="1"/>
      <c r="R188" s="1"/>
      <c r="S188" s="1"/>
      <c r="T188" s="1"/>
      <c r="U188" s="1"/>
      <c r="V188" s="1"/>
      <c r="W188" s="1"/>
      <c r="X188" s="1"/>
    </row>
    <row r="189" spans="1:24" ht="25.5" customHeight="1" x14ac:dyDescent="0.2">
      <c r="A189" s="300" t="s">
        <v>431</v>
      </c>
      <c r="B189" s="301"/>
      <c r="C189" s="301"/>
      <c r="D189" s="301"/>
      <c r="E189" s="301"/>
      <c r="F189" s="301"/>
      <c r="G189" s="301"/>
      <c r="H189" s="301"/>
      <c r="I189" s="302"/>
      <c r="J189" s="97"/>
      <c r="K189" s="1"/>
      <c r="L189" s="1"/>
      <c r="M189" s="1"/>
      <c r="N189" s="1"/>
      <c r="O189" s="1"/>
      <c r="P189" s="1"/>
      <c r="Q189" s="1"/>
      <c r="R189" s="1"/>
      <c r="S189" s="1"/>
      <c r="T189" s="1"/>
      <c r="U189" s="1"/>
      <c r="V189" s="1"/>
      <c r="W189" s="1"/>
      <c r="X189" s="1"/>
    </row>
    <row r="190" spans="1:24" ht="16.5" customHeight="1" x14ac:dyDescent="0.2">
      <c r="A190" s="300" t="s">
        <v>432</v>
      </c>
      <c r="B190" s="301"/>
      <c r="C190" s="301"/>
      <c r="D190" s="301"/>
      <c r="E190" s="301"/>
      <c r="F190" s="301"/>
      <c r="G190" s="301"/>
      <c r="H190" s="301"/>
      <c r="I190" s="302"/>
      <c r="J190" s="97"/>
      <c r="K190" s="1"/>
      <c r="L190" s="1"/>
      <c r="M190" s="1"/>
      <c r="N190" s="1"/>
      <c r="O190" s="1"/>
      <c r="P190" s="1"/>
      <c r="Q190" s="1"/>
      <c r="R190" s="1"/>
      <c r="S190" s="1"/>
      <c r="T190" s="1"/>
      <c r="U190" s="1"/>
      <c r="V190" s="1"/>
      <c r="W190" s="1"/>
      <c r="X190" s="1"/>
    </row>
    <row r="191" spans="1:24" ht="25.5" customHeight="1" x14ac:dyDescent="0.2">
      <c r="A191" s="300" t="s">
        <v>503</v>
      </c>
      <c r="B191" s="301"/>
      <c r="C191" s="301"/>
      <c r="D191" s="301"/>
      <c r="E191" s="301"/>
      <c r="F191" s="301"/>
      <c r="G191" s="301"/>
      <c r="H191" s="301"/>
      <c r="I191" s="302"/>
      <c r="J191" s="97"/>
      <c r="K191" s="1"/>
      <c r="L191" s="1"/>
      <c r="M191" s="1"/>
      <c r="N191" s="1"/>
      <c r="O191" s="1"/>
      <c r="P191" s="1"/>
      <c r="Q191" s="1"/>
      <c r="R191" s="1"/>
      <c r="S191" s="1"/>
      <c r="T191" s="1"/>
      <c r="U191" s="1"/>
      <c r="V191" s="1"/>
      <c r="W191" s="1"/>
      <c r="X191" s="1"/>
    </row>
    <row r="192" spans="1:24" ht="25.5" customHeight="1" x14ac:dyDescent="0.2">
      <c r="A192" s="300" t="s">
        <v>115</v>
      </c>
      <c r="B192" s="301"/>
      <c r="C192" s="301"/>
      <c r="D192" s="301"/>
      <c r="E192" s="301"/>
      <c r="F192" s="301"/>
      <c r="G192" s="301"/>
      <c r="H192" s="301"/>
      <c r="I192" s="302"/>
      <c r="J192" s="97"/>
      <c r="K192" s="1"/>
      <c r="L192" s="1"/>
      <c r="M192" s="1"/>
      <c r="N192" s="1"/>
      <c r="O192" s="1"/>
      <c r="P192" s="1"/>
      <c r="Q192" s="1"/>
      <c r="R192" s="1"/>
      <c r="S192" s="1"/>
      <c r="T192" s="1"/>
      <c r="U192" s="1"/>
      <c r="V192" s="1"/>
      <c r="W192" s="1"/>
      <c r="X192" s="1"/>
    </row>
    <row r="193" spans="1:24" ht="16.5" customHeight="1" x14ac:dyDescent="0.2">
      <c r="A193" s="300" t="s">
        <v>116</v>
      </c>
      <c r="B193" s="301"/>
      <c r="C193" s="301"/>
      <c r="D193" s="301"/>
      <c r="E193" s="301"/>
      <c r="F193" s="301"/>
      <c r="G193" s="301"/>
      <c r="H193" s="301"/>
      <c r="I193" s="302"/>
      <c r="J193" s="97"/>
      <c r="K193" s="1"/>
      <c r="L193" s="1"/>
      <c r="M193" s="1"/>
      <c r="N193" s="1"/>
      <c r="O193" s="1"/>
      <c r="P193" s="1"/>
      <c r="Q193" s="1"/>
      <c r="R193" s="1"/>
      <c r="S193" s="1"/>
      <c r="T193" s="1"/>
      <c r="U193" s="1"/>
      <c r="V193" s="1"/>
      <c r="W193" s="1"/>
      <c r="X193" s="1"/>
    </row>
    <row r="194" spans="1:24" ht="16.5" customHeight="1" x14ac:dyDescent="0.2">
      <c r="A194" s="300" t="s">
        <v>117</v>
      </c>
      <c r="B194" s="301"/>
      <c r="C194" s="301"/>
      <c r="D194" s="301"/>
      <c r="E194" s="301"/>
      <c r="F194" s="301"/>
      <c r="G194" s="301"/>
      <c r="H194" s="301"/>
      <c r="I194" s="302"/>
      <c r="J194" s="97"/>
      <c r="K194" s="1"/>
      <c r="L194" s="1"/>
      <c r="M194" s="1"/>
      <c r="N194" s="1"/>
      <c r="O194" s="1"/>
      <c r="P194" s="1"/>
      <c r="Q194" s="1"/>
      <c r="R194" s="1"/>
      <c r="S194" s="1"/>
      <c r="T194" s="1"/>
      <c r="U194" s="1"/>
      <c r="V194" s="1"/>
      <c r="W194" s="1"/>
      <c r="X194" s="1"/>
    </row>
    <row r="195" spans="1:24" ht="25.5" customHeight="1" x14ac:dyDescent="0.2">
      <c r="A195" s="296" t="s">
        <v>118</v>
      </c>
      <c r="B195" s="297"/>
      <c r="C195" s="297"/>
      <c r="D195" s="297"/>
      <c r="E195" s="297"/>
      <c r="F195" s="297"/>
      <c r="G195" s="297"/>
      <c r="H195" s="297"/>
      <c r="I195" s="298"/>
      <c r="J195" s="97"/>
      <c r="K195" s="1"/>
      <c r="L195" s="1"/>
      <c r="M195" s="1"/>
      <c r="N195" s="1"/>
      <c r="O195" s="1"/>
      <c r="P195" s="1"/>
      <c r="Q195" s="1"/>
      <c r="R195" s="1"/>
      <c r="S195" s="1"/>
      <c r="T195" s="1"/>
      <c r="U195" s="1"/>
      <c r="V195" s="1"/>
      <c r="W195" s="1"/>
      <c r="X195" s="1"/>
    </row>
    <row r="196" spans="1:24" ht="13.5" customHeight="1" x14ac:dyDescent="0.2">
      <c r="A196" s="75"/>
      <c r="B196" s="76"/>
      <c r="C196" s="76"/>
      <c r="D196" s="78"/>
      <c r="E196" s="77"/>
      <c r="F196" s="77"/>
      <c r="G196" s="77"/>
      <c r="H196" s="77"/>
      <c r="I196" s="77"/>
      <c r="J196" s="97"/>
      <c r="K196" s="1"/>
      <c r="L196" s="1"/>
      <c r="M196" s="1"/>
      <c r="N196" s="1"/>
      <c r="O196" s="1"/>
      <c r="P196" s="1"/>
      <c r="Q196" s="1"/>
      <c r="R196" s="1"/>
      <c r="S196" s="1"/>
      <c r="T196" s="1"/>
      <c r="U196" s="1"/>
      <c r="V196" s="1"/>
      <c r="W196" s="1"/>
      <c r="X196" s="1"/>
    </row>
    <row r="197" spans="1:24" ht="13.5" customHeight="1" x14ac:dyDescent="0.2">
      <c r="A197" s="79"/>
      <c r="B197" s="76"/>
      <c r="C197" s="76"/>
      <c r="D197" s="78"/>
      <c r="E197" s="77"/>
      <c r="F197" s="77"/>
      <c r="G197" s="77"/>
      <c r="H197" s="77"/>
      <c r="I197" s="77"/>
      <c r="J197" s="97"/>
      <c r="K197" s="1"/>
      <c r="L197" s="1"/>
      <c r="M197" s="1"/>
      <c r="N197" s="1"/>
      <c r="O197" s="1"/>
      <c r="P197" s="1"/>
      <c r="Q197" s="1"/>
      <c r="R197" s="1"/>
      <c r="S197" s="1"/>
      <c r="T197" s="1"/>
      <c r="U197" s="1"/>
      <c r="V197" s="1"/>
      <c r="W197" s="1"/>
      <c r="X197" s="1"/>
    </row>
    <row r="198" spans="1:24" ht="13.5" customHeight="1" x14ac:dyDescent="0.2">
      <c r="A198" s="79"/>
      <c r="B198" s="76"/>
      <c r="C198" s="76"/>
      <c r="D198" s="78"/>
      <c r="E198" s="77"/>
      <c r="F198" s="77"/>
      <c r="G198" s="77"/>
      <c r="H198" s="77"/>
      <c r="I198" s="77"/>
      <c r="J198" s="97">
        <f>I186/112</f>
        <v>117508.3755283772</v>
      </c>
      <c r="K198" s="1"/>
      <c r="L198" s="1"/>
      <c r="M198" s="1"/>
      <c r="N198" s="1"/>
      <c r="O198" s="1"/>
      <c r="P198" s="1"/>
      <c r="Q198" s="1"/>
      <c r="R198" s="1"/>
      <c r="S198" s="1"/>
      <c r="T198" s="1"/>
      <c r="U198" s="1"/>
      <c r="V198" s="1"/>
      <c r="W198" s="1"/>
      <c r="X198" s="1"/>
    </row>
    <row r="199" spans="1:24" ht="13.5" customHeight="1" x14ac:dyDescent="0.2">
      <c r="A199" s="79"/>
      <c r="B199" s="76"/>
      <c r="C199" s="76"/>
      <c r="D199" s="78"/>
      <c r="E199" s="77"/>
      <c r="F199" s="77"/>
      <c r="G199" s="77"/>
      <c r="H199" s="77"/>
      <c r="I199" s="77"/>
      <c r="J199" s="97"/>
      <c r="K199" s="1"/>
      <c r="L199" s="1"/>
      <c r="M199" s="1"/>
      <c r="N199" s="1"/>
      <c r="O199" s="1"/>
      <c r="P199" s="1"/>
      <c r="Q199" s="1"/>
      <c r="R199" s="1"/>
      <c r="S199" s="1"/>
      <c r="T199" s="1"/>
      <c r="U199" s="1"/>
      <c r="V199" s="1"/>
      <c r="W199" s="1"/>
      <c r="X199" s="1"/>
    </row>
    <row r="200" spans="1:24" ht="13.5" customHeight="1" x14ac:dyDescent="0.2">
      <c r="A200" s="79"/>
      <c r="B200" s="76"/>
      <c r="C200" s="76"/>
      <c r="D200" s="78"/>
      <c r="E200" s="77"/>
      <c r="F200" s="77"/>
      <c r="G200" s="77"/>
      <c r="H200" s="77"/>
      <c r="I200" s="77"/>
      <c r="J200" s="240"/>
      <c r="K200" s="1"/>
      <c r="L200" s="1"/>
      <c r="M200" s="1"/>
      <c r="N200" s="1"/>
      <c r="O200" s="1"/>
      <c r="P200" s="1"/>
      <c r="Q200" s="1"/>
      <c r="R200" s="1"/>
      <c r="S200" s="1"/>
      <c r="T200" s="1"/>
      <c r="U200" s="1"/>
      <c r="V200" s="1"/>
      <c r="W200" s="1"/>
      <c r="X200" s="1"/>
    </row>
    <row r="201" spans="1:24" ht="14.25" x14ac:dyDescent="0.2">
      <c r="E201" s="72">
        <f>112/2</f>
        <v>56</v>
      </c>
      <c r="J201" s="97"/>
      <c r="K201" s="1"/>
      <c r="L201" s="1"/>
      <c r="M201" s="1"/>
      <c r="N201" s="1"/>
      <c r="O201" s="1"/>
      <c r="P201" s="1"/>
      <c r="Q201" s="1"/>
      <c r="R201" s="1"/>
      <c r="S201" s="1"/>
      <c r="T201" s="1"/>
      <c r="U201" s="1"/>
      <c r="V201" s="1"/>
      <c r="W201" s="1"/>
      <c r="X201" s="1"/>
    </row>
    <row r="202" spans="1:24" ht="14.25" x14ac:dyDescent="0.2">
      <c r="J202" s="97"/>
      <c r="K202" s="1"/>
      <c r="L202" s="1"/>
      <c r="M202" s="1"/>
      <c r="N202" s="1"/>
      <c r="O202" s="1"/>
      <c r="P202" s="1"/>
      <c r="Q202" s="1"/>
      <c r="R202" s="1"/>
      <c r="S202" s="1"/>
      <c r="T202" s="1"/>
      <c r="U202" s="1"/>
      <c r="V202" s="1"/>
      <c r="W202" s="1"/>
      <c r="X202" s="1"/>
    </row>
    <row r="203" spans="1:24" ht="14.25" x14ac:dyDescent="0.2">
      <c r="J203" s="97"/>
      <c r="K203" s="1"/>
      <c r="L203" s="1"/>
      <c r="M203" s="1"/>
      <c r="N203" s="1"/>
      <c r="O203" s="1"/>
      <c r="P203" s="1"/>
      <c r="Q203" s="1"/>
      <c r="R203" s="1"/>
      <c r="S203" s="1"/>
      <c r="T203" s="1"/>
      <c r="U203" s="1"/>
      <c r="V203" s="1"/>
      <c r="W203" s="1"/>
      <c r="X203" s="1"/>
    </row>
    <row r="204" spans="1:24" ht="14.25" x14ac:dyDescent="0.2">
      <c r="J204" s="97"/>
      <c r="K204" s="1"/>
      <c r="L204" s="1"/>
      <c r="M204" s="1"/>
      <c r="N204" s="1"/>
      <c r="O204" s="1"/>
      <c r="P204" s="1"/>
      <c r="Q204" s="1"/>
      <c r="R204" s="1"/>
      <c r="S204" s="1"/>
      <c r="T204" s="1"/>
      <c r="U204" s="1"/>
      <c r="V204" s="1"/>
      <c r="W204" s="1"/>
      <c r="X204" s="1"/>
    </row>
    <row r="205" spans="1:24" ht="14.25" x14ac:dyDescent="0.2">
      <c r="J205" s="97"/>
      <c r="K205" s="1"/>
      <c r="L205" s="1"/>
      <c r="M205" s="1"/>
      <c r="N205" s="1"/>
      <c r="O205" s="1"/>
      <c r="P205" s="1"/>
      <c r="Q205" s="1"/>
      <c r="R205" s="1"/>
      <c r="S205" s="1"/>
      <c r="T205" s="1"/>
      <c r="U205" s="1"/>
      <c r="V205" s="1"/>
      <c r="W205" s="1"/>
      <c r="X205" s="1"/>
    </row>
    <row r="206" spans="1:24" ht="45.75" customHeight="1" x14ac:dyDescent="0.2">
      <c r="J206" s="97"/>
      <c r="K206" s="1"/>
      <c r="L206" s="1"/>
      <c r="M206" s="1"/>
      <c r="N206" s="1"/>
      <c r="O206" s="1"/>
      <c r="P206" s="1"/>
      <c r="Q206" s="1"/>
      <c r="R206" s="1"/>
      <c r="S206" s="1"/>
      <c r="T206" s="1"/>
      <c r="U206" s="1"/>
      <c r="V206" s="1"/>
      <c r="W206" s="1"/>
      <c r="X206" s="1"/>
    </row>
    <row r="207" spans="1:24" ht="14.25" x14ac:dyDescent="0.2">
      <c r="J207" s="97"/>
      <c r="K207" s="1"/>
      <c r="L207" s="1"/>
      <c r="M207" s="1"/>
      <c r="N207" s="1"/>
      <c r="O207" s="1"/>
      <c r="P207" s="1"/>
      <c r="Q207" s="1"/>
      <c r="R207" s="1"/>
      <c r="S207" s="1"/>
      <c r="T207" s="1"/>
      <c r="U207" s="1"/>
      <c r="V207" s="1"/>
      <c r="W207" s="1"/>
      <c r="X207" s="1"/>
    </row>
    <row r="208" spans="1:24" ht="14.25" customHeight="1" x14ac:dyDescent="0.2">
      <c r="A208" s="79"/>
      <c r="B208" s="76"/>
      <c r="C208" s="76"/>
      <c r="D208" s="78"/>
      <c r="E208" s="77"/>
      <c r="F208" s="77"/>
      <c r="G208" s="77"/>
      <c r="H208" s="77"/>
      <c r="I208" s="77"/>
      <c r="J208" s="97"/>
      <c r="K208" s="1"/>
      <c r="L208" s="1"/>
      <c r="M208" s="1"/>
      <c r="N208" s="1"/>
      <c r="O208" s="1"/>
      <c r="P208" s="1"/>
      <c r="Q208" s="1"/>
      <c r="R208" s="1"/>
      <c r="S208" s="1"/>
      <c r="T208" s="1"/>
      <c r="U208" s="1"/>
      <c r="V208" s="1"/>
      <c r="W208" s="1"/>
      <c r="X208" s="1"/>
    </row>
    <row r="209" spans="1:24" ht="14.25" customHeight="1" x14ac:dyDescent="0.2">
      <c r="A209" s="79"/>
      <c r="B209" s="76"/>
      <c r="C209" s="76"/>
      <c r="D209" s="78"/>
      <c r="E209" s="77"/>
      <c r="F209" s="77"/>
      <c r="G209" s="77"/>
      <c r="H209" s="77"/>
      <c r="I209" s="77"/>
      <c r="J209" s="97"/>
      <c r="K209" s="1"/>
      <c r="L209" s="1"/>
      <c r="M209" s="1"/>
      <c r="N209" s="1"/>
      <c r="O209" s="1"/>
      <c r="P209" s="1"/>
      <c r="Q209" s="1"/>
      <c r="R209" s="1"/>
      <c r="S209" s="1"/>
      <c r="T209" s="1"/>
      <c r="U209" s="1"/>
      <c r="V209" s="1"/>
      <c r="W209" s="1"/>
      <c r="X209" s="1"/>
    </row>
    <row r="210" spans="1:24" ht="14.25" customHeight="1" x14ac:dyDescent="0.2">
      <c r="A210" s="79"/>
      <c r="B210" s="76"/>
      <c r="C210" s="76"/>
      <c r="D210" s="78"/>
      <c r="E210" s="77"/>
      <c r="F210" s="77"/>
      <c r="G210" s="77"/>
      <c r="H210" s="77"/>
      <c r="I210" s="77"/>
      <c r="J210" s="97"/>
      <c r="K210" s="1"/>
      <c r="L210" s="1"/>
      <c r="M210" s="1"/>
      <c r="N210" s="1"/>
      <c r="O210" s="1"/>
      <c r="P210" s="1"/>
      <c r="Q210" s="1"/>
      <c r="R210" s="1"/>
      <c r="S210" s="1"/>
      <c r="T210" s="1"/>
      <c r="U210" s="1"/>
      <c r="V210" s="1"/>
      <c r="W210" s="1"/>
      <c r="X210" s="1"/>
    </row>
    <row r="211" spans="1:24" ht="14.25" customHeight="1" x14ac:dyDescent="0.2">
      <c r="A211" s="79"/>
      <c r="B211" s="76"/>
      <c r="C211" s="76"/>
      <c r="D211" s="78"/>
      <c r="E211" s="77"/>
      <c r="F211" s="77"/>
      <c r="G211" s="77"/>
      <c r="H211" s="77"/>
      <c r="I211" s="77"/>
      <c r="J211" s="97"/>
      <c r="K211" s="1"/>
      <c r="L211" s="1"/>
      <c r="M211" s="1"/>
      <c r="N211" s="1"/>
      <c r="O211" s="1"/>
      <c r="P211" s="1"/>
      <c r="Q211" s="1"/>
      <c r="R211" s="1"/>
      <c r="S211" s="1"/>
      <c r="T211" s="1"/>
      <c r="U211" s="1"/>
      <c r="V211" s="1"/>
      <c r="W211" s="1"/>
      <c r="X211" s="1"/>
    </row>
    <row r="212" spans="1:24" ht="14.25" customHeight="1" x14ac:dyDescent="0.2">
      <c r="A212" s="79"/>
      <c r="B212" s="76"/>
      <c r="C212" s="76"/>
      <c r="D212" s="78"/>
      <c r="E212" s="77"/>
      <c r="F212" s="77"/>
      <c r="G212" s="77"/>
      <c r="H212" s="77"/>
      <c r="I212" s="77"/>
      <c r="J212" s="97"/>
      <c r="K212" s="1"/>
      <c r="L212" s="1"/>
      <c r="M212" s="1"/>
      <c r="N212" s="1"/>
      <c r="O212" s="1"/>
      <c r="P212" s="1"/>
      <c r="Q212" s="1"/>
      <c r="R212" s="1"/>
      <c r="S212" s="1"/>
      <c r="T212" s="1"/>
      <c r="U212" s="1"/>
      <c r="V212" s="1"/>
      <c r="W212" s="1"/>
      <c r="X212" s="1"/>
    </row>
    <row r="213" spans="1:24" ht="14.25" customHeight="1" x14ac:dyDescent="0.2">
      <c r="A213" s="79"/>
      <c r="B213" s="76"/>
      <c r="C213" s="76"/>
      <c r="D213" s="78"/>
      <c r="E213" s="77"/>
      <c r="F213" s="77"/>
      <c r="G213" s="77"/>
      <c r="H213" s="77"/>
      <c r="I213" s="77"/>
      <c r="J213" s="97"/>
      <c r="K213" s="1"/>
      <c r="L213" s="1"/>
      <c r="M213" s="1"/>
      <c r="N213" s="1"/>
      <c r="O213" s="1"/>
      <c r="P213" s="1"/>
      <c r="Q213" s="1"/>
      <c r="R213" s="1"/>
      <c r="S213" s="1"/>
      <c r="T213" s="1"/>
      <c r="U213" s="1"/>
      <c r="V213" s="1"/>
      <c r="W213" s="1"/>
      <c r="X213" s="1"/>
    </row>
    <row r="214" spans="1:24" ht="14.25" customHeight="1" x14ac:dyDescent="0.2">
      <c r="A214" s="79"/>
      <c r="B214" s="76"/>
      <c r="C214" s="76"/>
      <c r="D214" s="78"/>
      <c r="E214" s="77"/>
      <c r="F214" s="77"/>
      <c r="G214" s="77"/>
      <c r="H214" s="77"/>
      <c r="I214" s="77"/>
      <c r="J214" s="97"/>
      <c r="K214" s="1"/>
      <c r="L214" s="1"/>
      <c r="M214" s="1"/>
      <c r="N214" s="1"/>
      <c r="O214" s="1"/>
      <c r="P214" s="1"/>
      <c r="Q214" s="1"/>
      <c r="R214" s="1"/>
      <c r="S214" s="1"/>
      <c r="T214" s="1"/>
      <c r="U214" s="1"/>
      <c r="V214" s="1"/>
      <c r="W214" s="1"/>
      <c r="X214" s="1"/>
    </row>
    <row r="215" spans="1:24" ht="14.25" customHeight="1" x14ac:dyDescent="0.2">
      <c r="A215" s="79"/>
      <c r="B215" s="76"/>
      <c r="C215" s="76"/>
      <c r="D215" s="78"/>
      <c r="E215" s="77"/>
      <c r="F215" s="77"/>
      <c r="G215" s="77"/>
      <c r="H215" s="77"/>
      <c r="I215" s="77"/>
      <c r="J215" s="97"/>
      <c r="K215" s="1"/>
      <c r="L215" s="1"/>
      <c r="M215" s="1"/>
      <c r="N215" s="1"/>
      <c r="O215" s="1"/>
      <c r="P215" s="1"/>
      <c r="Q215" s="1"/>
      <c r="R215" s="1"/>
      <c r="S215" s="1"/>
      <c r="T215" s="1"/>
      <c r="U215" s="1"/>
      <c r="V215" s="1"/>
      <c r="W215" s="1"/>
      <c r="X215" s="1"/>
    </row>
    <row r="216" spans="1:24" ht="14.25" customHeight="1" x14ac:dyDescent="0.2">
      <c r="A216" s="79"/>
      <c r="B216" s="76"/>
      <c r="C216" s="76"/>
      <c r="D216" s="78"/>
      <c r="E216" s="77"/>
      <c r="F216" s="77"/>
      <c r="G216" s="77"/>
      <c r="H216" s="77"/>
      <c r="I216" s="77"/>
      <c r="J216" s="97"/>
      <c r="K216" s="1"/>
      <c r="L216" s="1"/>
      <c r="M216" s="1"/>
      <c r="N216" s="1"/>
      <c r="O216" s="1"/>
      <c r="P216" s="1"/>
      <c r="Q216" s="1"/>
      <c r="R216" s="1"/>
      <c r="S216" s="1"/>
      <c r="T216" s="1"/>
      <c r="U216" s="1"/>
      <c r="V216" s="1"/>
      <c r="W216" s="1"/>
      <c r="X216" s="1"/>
    </row>
    <row r="217" spans="1:24" ht="14.25" customHeight="1" x14ac:dyDescent="0.2">
      <c r="A217" s="79"/>
      <c r="B217" s="76"/>
      <c r="C217" s="76"/>
      <c r="D217" s="78"/>
      <c r="E217" s="77"/>
      <c r="F217" s="77"/>
      <c r="G217" s="77"/>
      <c r="H217" s="77"/>
      <c r="I217" s="77"/>
      <c r="J217" s="97"/>
      <c r="K217" s="1"/>
      <c r="L217" s="1"/>
      <c r="M217" s="1"/>
      <c r="N217" s="1"/>
      <c r="O217" s="1"/>
      <c r="P217" s="1"/>
      <c r="Q217" s="1"/>
      <c r="R217" s="1"/>
      <c r="S217" s="1"/>
      <c r="T217" s="1"/>
      <c r="U217" s="1"/>
      <c r="V217" s="1"/>
      <c r="W217" s="1"/>
      <c r="X217" s="1"/>
    </row>
    <row r="218" spans="1:24" ht="14.25" customHeight="1" x14ac:dyDescent="0.2">
      <c r="A218" s="79"/>
      <c r="B218" s="76"/>
      <c r="C218" s="76"/>
      <c r="D218" s="78"/>
      <c r="E218" s="77"/>
      <c r="F218" s="77"/>
      <c r="G218" s="77"/>
      <c r="H218" s="77"/>
      <c r="I218" s="77"/>
      <c r="J218" s="97"/>
      <c r="K218" s="1"/>
      <c r="L218" s="1"/>
      <c r="M218" s="1"/>
      <c r="N218" s="1"/>
      <c r="O218" s="1"/>
      <c r="P218" s="1"/>
      <c r="Q218" s="1"/>
      <c r="R218" s="1"/>
      <c r="S218" s="1"/>
      <c r="T218" s="1"/>
      <c r="U218" s="1"/>
      <c r="V218" s="1"/>
      <c r="W218" s="1"/>
      <c r="X218" s="1"/>
    </row>
    <row r="219" spans="1:24" ht="14.25" customHeight="1" x14ac:dyDescent="0.2">
      <c r="A219" s="79"/>
      <c r="B219" s="76"/>
      <c r="C219" s="76"/>
      <c r="D219" s="78"/>
      <c r="E219" s="77"/>
      <c r="F219" s="77"/>
      <c r="G219" s="77"/>
      <c r="H219" s="77"/>
      <c r="I219" s="77"/>
      <c r="J219" s="97"/>
      <c r="K219" s="1"/>
      <c r="L219" s="1"/>
      <c r="M219" s="1"/>
      <c r="N219" s="1"/>
      <c r="O219" s="1"/>
      <c r="P219" s="1"/>
      <c r="Q219" s="1"/>
      <c r="R219" s="1"/>
      <c r="S219" s="1"/>
      <c r="T219" s="1"/>
      <c r="U219" s="1"/>
      <c r="V219" s="1"/>
      <c r="W219" s="1"/>
      <c r="X219" s="1"/>
    </row>
    <row r="220" spans="1:24" ht="14.25" customHeight="1" x14ac:dyDescent="0.2">
      <c r="A220" s="79"/>
      <c r="B220" s="76"/>
      <c r="C220" s="76"/>
      <c r="D220" s="78"/>
      <c r="E220" s="77"/>
      <c r="F220" s="77"/>
      <c r="G220" s="77"/>
      <c r="H220" s="77"/>
      <c r="I220" s="77"/>
      <c r="J220" s="97"/>
      <c r="K220" s="1"/>
      <c r="L220" s="1"/>
      <c r="M220" s="1"/>
      <c r="N220" s="1"/>
      <c r="O220" s="1"/>
      <c r="P220" s="1"/>
      <c r="Q220" s="1"/>
      <c r="R220" s="1"/>
      <c r="S220" s="1"/>
      <c r="T220" s="1"/>
      <c r="U220" s="1"/>
      <c r="V220" s="1"/>
      <c r="W220" s="1"/>
      <c r="X220" s="1"/>
    </row>
    <row r="221" spans="1:24" ht="14.25" customHeight="1" x14ac:dyDescent="0.2">
      <c r="A221" s="79"/>
      <c r="B221" s="76"/>
      <c r="C221" s="76"/>
      <c r="D221" s="78"/>
      <c r="E221" s="77"/>
      <c r="F221" s="77"/>
      <c r="G221" s="77"/>
      <c r="H221" s="77"/>
      <c r="I221" s="77"/>
      <c r="J221" s="97"/>
      <c r="K221" s="1"/>
      <c r="L221" s="1"/>
      <c r="M221" s="1"/>
      <c r="N221" s="1"/>
      <c r="O221" s="1"/>
      <c r="P221" s="1"/>
      <c r="Q221" s="1"/>
      <c r="R221" s="1"/>
      <c r="S221" s="1"/>
      <c r="T221" s="1"/>
      <c r="U221" s="1"/>
      <c r="V221" s="1"/>
      <c r="W221" s="1"/>
      <c r="X221" s="1"/>
    </row>
    <row r="222" spans="1:24" ht="14.25" customHeight="1" x14ac:dyDescent="0.2">
      <c r="A222" s="79"/>
      <c r="B222" s="76"/>
      <c r="C222" s="76"/>
      <c r="D222" s="78"/>
      <c r="E222" s="77"/>
      <c r="F222" s="77"/>
      <c r="G222" s="77"/>
      <c r="H222" s="77"/>
      <c r="I222" s="77"/>
      <c r="J222" s="97"/>
      <c r="K222" s="1"/>
      <c r="L222" s="1"/>
      <c r="M222" s="1"/>
      <c r="N222" s="1"/>
      <c r="O222" s="1"/>
      <c r="P222" s="1"/>
      <c r="Q222" s="1"/>
      <c r="R222" s="1"/>
      <c r="S222" s="1"/>
      <c r="T222" s="1"/>
      <c r="U222" s="1"/>
      <c r="V222" s="1"/>
      <c r="W222" s="1"/>
      <c r="X222" s="1"/>
    </row>
    <row r="223" spans="1:24" ht="14.25" customHeight="1" x14ac:dyDescent="0.2">
      <c r="A223" s="79"/>
      <c r="B223" s="76"/>
      <c r="C223" s="76"/>
      <c r="D223" s="78"/>
      <c r="E223" s="77"/>
      <c r="F223" s="77"/>
      <c r="G223" s="77"/>
      <c r="H223" s="77"/>
      <c r="I223" s="77"/>
      <c r="J223" s="97"/>
      <c r="K223" s="1"/>
      <c r="L223" s="1"/>
      <c r="M223" s="1"/>
      <c r="N223" s="1"/>
      <c r="O223" s="1"/>
      <c r="P223" s="1"/>
      <c r="Q223" s="1"/>
      <c r="R223" s="1"/>
      <c r="S223" s="1"/>
      <c r="T223" s="1"/>
      <c r="U223" s="1"/>
      <c r="V223" s="1"/>
      <c r="W223" s="1"/>
      <c r="X223" s="1"/>
    </row>
    <row r="224" spans="1:24" ht="14.25" customHeight="1" x14ac:dyDescent="0.2">
      <c r="A224" s="79"/>
      <c r="B224" s="76"/>
      <c r="C224" s="76"/>
      <c r="D224" s="78"/>
      <c r="E224" s="77"/>
      <c r="F224" s="77"/>
      <c r="G224" s="77"/>
      <c r="H224" s="77"/>
      <c r="I224" s="77"/>
      <c r="J224" s="97"/>
      <c r="K224" s="1"/>
      <c r="L224" s="1"/>
      <c r="M224" s="1"/>
      <c r="N224" s="1"/>
      <c r="O224" s="1"/>
      <c r="P224" s="1"/>
      <c r="Q224" s="1"/>
      <c r="R224" s="1"/>
      <c r="S224" s="1"/>
      <c r="T224" s="1"/>
      <c r="U224" s="1"/>
      <c r="V224" s="1"/>
      <c r="W224" s="1"/>
      <c r="X224" s="1"/>
    </row>
    <row r="225" spans="1:24" ht="14.25" customHeight="1" x14ac:dyDescent="0.2">
      <c r="A225" s="79"/>
      <c r="B225" s="76"/>
      <c r="C225" s="76"/>
      <c r="D225" s="78"/>
      <c r="E225" s="77"/>
      <c r="F225" s="77"/>
      <c r="G225" s="77"/>
      <c r="H225" s="77"/>
      <c r="I225" s="77"/>
      <c r="J225" s="97"/>
      <c r="K225" s="1"/>
      <c r="L225" s="1"/>
      <c r="M225" s="1"/>
      <c r="N225" s="1"/>
      <c r="O225" s="1"/>
      <c r="P225" s="1"/>
      <c r="Q225" s="1"/>
      <c r="R225" s="1"/>
      <c r="S225" s="1"/>
      <c r="T225" s="1"/>
      <c r="U225" s="1"/>
      <c r="V225" s="1"/>
      <c r="W225" s="1"/>
      <c r="X225" s="1"/>
    </row>
    <row r="226" spans="1:24" ht="14.25" customHeight="1" x14ac:dyDescent="0.2">
      <c r="A226" s="79"/>
      <c r="B226" s="76"/>
      <c r="C226" s="76"/>
      <c r="D226" s="78"/>
      <c r="E226" s="77"/>
      <c r="F226" s="77"/>
      <c r="G226" s="77"/>
      <c r="H226" s="77"/>
      <c r="I226" s="77"/>
      <c r="J226" s="97"/>
      <c r="K226" s="1"/>
      <c r="L226" s="1"/>
      <c r="M226" s="1"/>
      <c r="N226" s="1"/>
      <c r="O226" s="1"/>
      <c r="P226" s="1"/>
      <c r="Q226" s="1"/>
      <c r="R226" s="1"/>
      <c r="S226" s="1"/>
      <c r="T226" s="1"/>
      <c r="U226" s="1"/>
      <c r="V226" s="1"/>
      <c r="W226" s="1"/>
      <c r="X226" s="1"/>
    </row>
    <row r="227" spans="1:24" ht="14.25" customHeight="1" x14ac:dyDescent="0.2">
      <c r="A227" s="79"/>
      <c r="B227" s="76"/>
      <c r="C227" s="76"/>
      <c r="D227" s="78"/>
      <c r="E227" s="77"/>
      <c r="F227" s="77"/>
      <c r="G227" s="77"/>
      <c r="H227" s="77"/>
      <c r="I227" s="77"/>
      <c r="J227" s="97"/>
      <c r="K227" s="1"/>
      <c r="L227" s="1"/>
      <c r="M227" s="1"/>
      <c r="N227" s="1"/>
      <c r="O227" s="1"/>
      <c r="P227" s="1"/>
      <c r="Q227" s="1"/>
      <c r="R227" s="1"/>
      <c r="S227" s="1"/>
      <c r="T227" s="1"/>
      <c r="U227" s="1"/>
      <c r="V227" s="1"/>
      <c r="W227" s="1"/>
      <c r="X227" s="1"/>
    </row>
    <row r="228" spans="1:24" ht="14.25" customHeight="1" x14ac:dyDescent="0.2">
      <c r="A228" s="79"/>
      <c r="B228" s="76"/>
      <c r="C228" s="76"/>
      <c r="D228" s="78"/>
      <c r="E228" s="77"/>
      <c r="F228" s="77"/>
      <c r="G228" s="77"/>
      <c r="H228" s="77"/>
      <c r="I228" s="77"/>
      <c r="J228" s="97"/>
      <c r="K228" s="1"/>
      <c r="L228" s="1"/>
      <c r="M228" s="1"/>
      <c r="N228" s="1"/>
      <c r="O228" s="1"/>
      <c r="P228" s="1"/>
      <c r="Q228" s="1"/>
      <c r="R228" s="1"/>
      <c r="S228" s="1"/>
      <c r="T228" s="1"/>
      <c r="U228" s="1"/>
      <c r="V228" s="1"/>
      <c r="W228" s="1"/>
      <c r="X228" s="1"/>
    </row>
    <row r="229" spans="1:24" ht="14.25" customHeight="1" x14ac:dyDescent="0.2">
      <c r="A229" s="79"/>
      <c r="B229" s="76"/>
      <c r="C229" s="76"/>
      <c r="D229" s="78"/>
      <c r="E229" s="77"/>
      <c r="F229" s="77"/>
      <c r="G229" s="77"/>
      <c r="H229" s="77"/>
      <c r="I229" s="77"/>
      <c r="J229" s="97"/>
      <c r="K229" s="1"/>
      <c r="L229" s="1"/>
      <c r="M229" s="1"/>
      <c r="N229" s="1"/>
      <c r="O229" s="1"/>
      <c r="P229" s="1"/>
      <c r="Q229" s="1"/>
      <c r="R229" s="1"/>
      <c r="S229" s="1"/>
      <c r="T229" s="1"/>
      <c r="U229" s="1"/>
      <c r="V229" s="1"/>
      <c r="W229" s="1"/>
      <c r="X229" s="1"/>
    </row>
    <row r="230" spans="1:24" ht="14.25" customHeight="1" x14ac:dyDescent="0.2">
      <c r="A230" s="79"/>
      <c r="B230" s="76"/>
      <c r="C230" s="76"/>
      <c r="D230" s="78"/>
      <c r="E230" s="77"/>
      <c r="F230" s="77"/>
      <c r="G230" s="77"/>
      <c r="H230" s="77"/>
      <c r="I230" s="77"/>
      <c r="J230" s="97"/>
      <c r="K230" s="1"/>
      <c r="L230" s="1"/>
      <c r="M230" s="1"/>
      <c r="N230" s="1"/>
      <c r="O230" s="1"/>
      <c r="P230" s="1"/>
      <c r="Q230" s="1"/>
      <c r="R230" s="1"/>
      <c r="S230" s="1"/>
      <c r="T230" s="1"/>
      <c r="U230" s="1"/>
      <c r="V230" s="1"/>
      <c r="W230" s="1"/>
      <c r="X230" s="1"/>
    </row>
    <row r="231" spans="1:24" ht="14.25" customHeight="1" x14ac:dyDescent="0.2">
      <c r="A231" s="79"/>
      <c r="B231" s="76"/>
      <c r="C231" s="76"/>
      <c r="D231" s="78"/>
      <c r="E231" s="77"/>
      <c r="F231" s="77"/>
      <c r="G231" s="77"/>
      <c r="H231" s="77"/>
      <c r="I231" s="77"/>
      <c r="J231" s="97"/>
      <c r="K231" s="1"/>
      <c r="L231" s="1"/>
      <c r="M231" s="1"/>
      <c r="N231" s="1"/>
      <c r="O231" s="1"/>
      <c r="P231" s="1"/>
      <c r="Q231" s="1"/>
      <c r="R231" s="1"/>
      <c r="S231" s="1"/>
      <c r="T231" s="1"/>
      <c r="U231" s="1"/>
      <c r="V231" s="1"/>
      <c r="W231" s="1"/>
      <c r="X231" s="1"/>
    </row>
    <row r="232" spans="1:24" ht="14.25" customHeight="1" x14ac:dyDescent="0.2">
      <c r="A232" s="79"/>
      <c r="B232" s="76"/>
      <c r="C232" s="76"/>
      <c r="D232" s="78"/>
      <c r="E232" s="77"/>
      <c r="F232" s="77"/>
      <c r="G232" s="77"/>
      <c r="H232" s="77"/>
      <c r="I232" s="77"/>
      <c r="J232" s="97"/>
      <c r="K232" s="1"/>
      <c r="L232" s="1"/>
      <c r="M232" s="1"/>
      <c r="N232" s="1"/>
      <c r="O232" s="1"/>
      <c r="P232" s="1"/>
      <c r="Q232" s="1"/>
      <c r="R232" s="1"/>
      <c r="S232" s="1"/>
      <c r="T232" s="1"/>
      <c r="U232" s="1"/>
      <c r="V232" s="1"/>
      <c r="W232" s="1"/>
      <c r="X232" s="1"/>
    </row>
    <row r="233" spans="1:24" ht="14.25" customHeight="1" x14ac:dyDescent="0.2">
      <c r="A233" s="79"/>
      <c r="B233" s="76"/>
      <c r="C233" s="76"/>
      <c r="D233" s="78"/>
      <c r="E233" s="77"/>
      <c r="F233" s="77"/>
      <c r="G233" s="77"/>
      <c r="H233" s="77"/>
      <c r="I233" s="77"/>
      <c r="J233" s="97"/>
      <c r="K233" s="1"/>
      <c r="L233" s="1"/>
      <c r="M233" s="1"/>
      <c r="N233" s="1"/>
      <c r="O233" s="1"/>
      <c r="P233" s="1"/>
      <c r="Q233" s="1"/>
      <c r="R233" s="1"/>
      <c r="S233" s="1"/>
      <c r="T233" s="1"/>
      <c r="U233" s="1"/>
      <c r="V233" s="1"/>
      <c r="W233" s="1"/>
      <c r="X233" s="1"/>
    </row>
    <row r="234" spans="1:24" ht="14.25" customHeight="1" x14ac:dyDescent="0.2">
      <c r="A234" s="79"/>
      <c r="B234" s="76"/>
      <c r="C234" s="76"/>
      <c r="D234" s="78"/>
      <c r="E234" s="77"/>
      <c r="F234" s="77"/>
      <c r="G234" s="77"/>
      <c r="H234" s="77"/>
      <c r="I234" s="77"/>
      <c r="J234" s="97"/>
      <c r="K234" s="1"/>
      <c r="L234" s="1"/>
      <c r="M234" s="1"/>
      <c r="N234" s="1"/>
      <c r="O234" s="1"/>
      <c r="P234" s="1"/>
      <c r="Q234" s="1"/>
      <c r="R234" s="1"/>
      <c r="S234" s="1"/>
      <c r="T234" s="1"/>
      <c r="U234" s="1"/>
      <c r="V234" s="1"/>
      <c r="W234" s="1"/>
      <c r="X234" s="1"/>
    </row>
    <row r="235" spans="1:24" ht="14.25" customHeight="1" x14ac:dyDescent="0.2">
      <c r="A235" s="79"/>
      <c r="B235" s="76"/>
      <c r="C235" s="76"/>
      <c r="D235" s="78"/>
      <c r="E235" s="77"/>
      <c r="F235" s="77"/>
      <c r="G235" s="77"/>
      <c r="H235" s="77"/>
      <c r="I235" s="77"/>
      <c r="J235" s="97"/>
      <c r="K235" s="1"/>
      <c r="L235" s="1"/>
      <c r="M235" s="1"/>
      <c r="N235" s="1"/>
      <c r="O235" s="1"/>
      <c r="P235" s="1"/>
      <c r="Q235" s="1"/>
      <c r="R235" s="1"/>
      <c r="S235" s="1"/>
      <c r="T235" s="1"/>
      <c r="U235" s="1"/>
      <c r="V235" s="1"/>
      <c r="W235" s="1"/>
      <c r="X235" s="1"/>
    </row>
    <row r="236" spans="1:24" ht="14.25" customHeight="1" x14ac:dyDescent="0.2">
      <c r="A236" s="79"/>
      <c r="B236" s="76"/>
      <c r="C236" s="76"/>
      <c r="D236" s="78"/>
      <c r="E236" s="77"/>
      <c r="F236" s="77"/>
      <c r="G236" s="77"/>
      <c r="H236" s="77"/>
      <c r="I236" s="77"/>
      <c r="J236" s="97"/>
      <c r="K236" s="1"/>
      <c r="L236" s="1"/>
      <c r="M236" s="1"/>
      <c r="N236" s="1"/>
      <c r="O236" s="1"/>
      <c r="P236" s="1"/>
      <c r="Q236" s="1"/>
      <c r="R236" s="1"/>
      <c r="S236" s="1"/>
      <c r="T236" s="1"/>
      <c r="U236" s="1"/>
      <c r="V236" s="1"/>
      <c r="W236" s="1"/>
      <c r="X236" s="1"/>
    </row>
    <row r="237" spans="1:24" ht="14.25" customHeight="1" x14ac:dyDescent="0.2">
      <c r="A237" s="79"/>
      <c r="B237" s="76"/>
      <c r="C237" s="76"/>
      <c r="D237" s="78"/>
      <c r="E237" s="77"/>
      <c r="F237" s="77"/>
      <c r="G237" s="77"/>
      <c r="H237" s="77"/>
      <c r="I237" s="77"/>
      <c r="J237" s="97"/>
      <c r="K237" s="1"/>
      <c r="L237" s="1"/>
      <c r="M237" s="1"/>
      <c r="N237" s="1"/>
      <c r="O237" s="1"/>
      <c r="P237" s="1"/>
      <c r="Q237" s="1"/>
      <c r="R237" s="1"/>
      <c r="S237" s="1"/>
      <c r="T237" s="1"/>
      <c r="U237" s="1"/>
      <c r="V237" s="1"/>
      <c r="W237" s="1"/>
      <c r="X237" s="1"/>
    </row>
    <row r="238" spans="1:24" ht="14.25" customHeight="1" x14ac:dyDescent="0.2">
      <c r="A238" s="79"/>
      <c r="B238" s="76"/>
      <c r="C238" s="76"/>
      <c r="D238" s="78"/>
      <c r="E238" s="77"/>
      <c r="F238" s="77"/>
      <c r="G238" s="77"/>
      <c r="H238" s="77"/>
      <c r="I238" s="77"/>
      <c r="J238" s="97"/>
      <c r="K238" s="1"/>
      <c r="L238" s="1"/>
      <c r="M238" s="1"/>
      <c r="N238" s="1"/>
      <c r="O238" s="1"/>
      <c r="P238" s="1"/>
      <c r="Q238" s="1"/>
      <c r="R238" s="1"/>
      <c r="S238" s="1"/>
      <c r="T238" s="1"/>
      <c r="U238" s="1"/>
      <c r="V238" s="1"/>
      <c r="W238" s="1"/>
      <c r="X238" s="1"/>
    </row>
    <row r="239" spans="1:24" ht="14.25" customHeight="1" x14ac:dyDescent="0.2">
      <c r="A239" s="79"/>
      <c r="B239" s="76"/>
      <c r="C239" s="76"/>
      <c r="D239" s="78"/>
      <c r="E239" s="77"/>
      <c r="F239" s="77"/>
      <c r="G239" s="77"/>
      <c r="H239" s="77"/>
      <c r="I239" s="77"/>
      <c r="J239" s="97"/>
      <c r="K239" s="1"/>
      <c r="L239" s="1"/>
      <c r="M239" s="1"/>
      <c r="N239" s="1"/>
      <c r="O239" s="1"/>
      <c r="P239" s="1"/>
      <c r="Q239" s="1"/>
      <c r="R239" s="1"/>
      <c r="S239" s="1"/>
      <c r="T239" s="1"/>
      <c r="U239" s="1"/>
      <c r="V239" s="1"/>
      <c r="W239" s="1"/>
      <c r="X239" s="1"/>
    </row>
    <row r="240" spans="1:24" ht="14.25" customHeight="1" x14ac:dyDescent="0.2">
      <c r="A240" s="79"/>
      <c r="B240" s="76"/>
      <c r="C240" s="76"/>
      <c r="D240" s="78"/>
      <c r="E240" s="77"/>
      <c r="F240" s="77"/>
      <c r="G240" s="77"/>
      <c r="H240" s="77"/>
      <c r="I240" s="77"/>
      <c r="J240" s="97"/>
      <c r="K240" s="1"/>
      <c r="L240" s="1"/>
      <c r="M240" s="1"/>
      <c r="N240" s="1"/>
      <c r="O240" s="1"/>
      <c r="P240" s="1"/>
      <c r="Q240" s="1"/>
      <c r="R240" s="1"/>
      <c r="S240" s="1"/>
      <c r="T240" s="1"/>
      <c r="U240" s="1"/>
      <c r="V240" s="1"/>
      <c r="W240" s="1"/>
      <c r="X240" s="1"/>
    </row>
    <row r="241" spans="1:24" ht="14.25" customHeight="1" x14ac:dyDescent="0.2">
      <c r="A241" s="79"/>
      <c r="B241" s="76"/>
      <c r="C241" s="76"/>
      <c r="D241" s="78"/>
      <c r="E241" s="77"/>
      <c r="F241" s="77"/>
      <c r="G241" s="77"/>
      <c r="H241" s="77"/>
      <c r="I241" s="77"/>
      <c r="J241" s="97"/>
      <c r="K241" s="1"/>
      <c r="L241" s="1"/>
      <c r="M241" s="1"/>
      <c r="N241" s="1"/>
      <c r="O241" s="1"/>
      <c r="P241" s="1"/>
      <c r="Q241" s="1"/>
      <c r="R241" s="1"/>
      <c r="S241" s="1"/>
      <c r="T241" s="1"/>
      <c r="U241" s="1"/>
      <c r="V241" s="1"/>
      <c r="W241" s="1"/>
      <c r="X241" s="1"/>
    </row>
    <row r="242" spans="1:24" ht="14.25" customHeight="1" x14ac:dyDescent="0.2">
      <c r="A242" s="79"/>
      <c r="B242" s="76"/>
      <c r="C242" s="76"/>
      <c r="D242" s="78"/>
      <c r="E242" s="77"/>
      <c r="F242" s="77"/>
      <c r="G242" s="77"/>
      <c r="H242" s="77"/>
      <c r="I242" s="77"/>
      <c r="J242" s="97"/>
      <c r="K242" s="1"/>
      <c r="L242" s="1"/>
      <c r="M242" s="1"/>
      <c r="N242" s="1"/>
      <c r="O242" s="1"/>
      <c r="P242" s="1"/>
      <c r="Q242" s="1"/>
      <c r="R242" s="1"/>
      <c r="S242" s="1"/>
      <c r="T242" s="1"/>
      <c r="U242" s="1"/>
      <c r="V242" s="1"/>
      <c r="W242" s="1"/>
      <c r="X242" s="1"/>
    </row>
    <row r="243" spans="1:24" ht="14.25" customHeight="1" x14ac:dyDescent="0.2">
      <c r="A243" s="79"/>
      <c r="B243" s="76"/>
      <c r="C243" s="76"/>
      <c r="D243" s="78"/>
      <c r="E243" s="77"/>
      <c r="F243" s="77"/>
      <c r="G243" s="77"/>
      <c r="H243" s="77"/>
      <c r="I243" s="77"/>
      <c r="J243" s="97"/>
      <c r="K243" s="1"/>
      <c r="L243" s="1"/>
      <c r="M243" s="1"/>
      <c r="N243" s="1"/>
      <c r="O243" s="1"/>
      <c r="P243" s="1"/>
      <c r="Q243" s="1"/>
      <c r="R243" s="1"/>
      <c r="S243" s="1"/>
      <c r="T243" s="1"/>
      <c r="U243" s="1"/>
      <c r="V243" s="1"/>
      <c r="W243" s="1"/>
      <c r="X243" s="1"/>
    </row>
    <row r="244" spans="1:24" ht="14.25" customHeight="1" x14ac:dyDescent="0.2">
      <c r="A244" s="79"/>
      <c r="B244" s="76"/>
      <c r="C244" s="76"/>
      <c r="D244" s="78"/>
      <c r="E244" s="77"/>
      <c r="F244" s="77"/>
      <c r="G244" s="77"/>
      <c r="H244" s="77"/>
      <c r="I244" s="77"/>
      <c r="J244" s="97"/>
      <c r="K244" s="1"/>
      <c r="L244" s="1"/>
      <c r="M244" s="1"/>
      <c r="N244" s="1"/>
      <c r="O244" s="1"/>
      <c r="P244" s="1"/>
      <c r="Q244" s="1"/>
      <c r="R244" s="1"/>
      <c r="S244" s="1"/>
      <c r="T244" s="1"/>
      <c r="U244" s="1"/>
      <c r="V244" s="1"/>
      <c r="W244" s="1"/>
      <c r="X244" s="1"/>
    </row>
    <row r="245" spans="1:24" ht="14.25" customHeight="1" x14ac:dyDescent="0.2">
      <c r="A245" s="79"/>
      <c r="B245" s="76"/>
      <c r="C245" s="76"/>
      <c r="D245" s="78"/>
      <c r="E245" s="77"/>
      <c r="F245" s="77"/>
      <c r="G245" s="77"/>
      <c r="H245" s="77"/>
      <c r="I245" s="77"/>
      <c r="J245" s="97"/>
      <c r="K245" s="1"/>
      <c r="L245" s="1"/>
      <c r="M245" s="1"/>
      <c r="N245" s="1"/>
      <c r="O245" s="1"/>
      <c r="P245" s="1"/>
      <c r="Q245" s="1"/>
      <c r="R245" s="1"/>
      <c r="S245" s="1"/>
      <c r="T245" s="1"/>
      <c r="U245" s="1"/>
      <c r="V245" s="1"/>
      <c r="W245" s="1"/>
      <c r="X245" s="1"/>
    </row>
    <row r="246" spans="1:24" ht="14.25" customHeight="1" x14ac:dyDescent="0.2">
      <c r="A246" s="79"/>
      <c r="B246" s="76"/>
      <c r="C246" s="76"/>
      <c r="D246" s="78"/>
      <c r="E246" s="77"/>
      <c r="F246" s="77"/>
      <c r="G246" s="77"/>
      <c r="H246" s="77"/>
      <c r="I246" s="77"/>
      <c r="J246" s="97"/>
      <c r="K246" s="1"/>
      <c r="L246" s="1"/>
      <c r="M246" s="1"/>
      <c r="N246" s="1"/>
      <c r="O246" s="1"/>
      <c r="P246" s="1"/>
      <c r="Q246" s="1"/>
      <c r="R246" s="1"/>
      <c r="S246" s="1"/>
      <c r="T246" s="1"/>
      <c r="U246" s="1"/>
      <c r="V246" s="1"/>
      <c r="W246" s="1"/>
      <c r="X246" s="1"/>
    </row>
    <row r="247" spans="1:24" ht="14.25" customHeight="1" x14ac:dyDescent="0.2">
      <c r="A247" s="79"/>
      <c r="B247" s="76"/>
      <c r="C247" s="76"/>
      <c r="D247" s="78"/>
      <c r="E247" s="77"/>
      <c r="F247" s="77"/>
      <c r="G247" s="77"/>
      <c r="H247" s="77"/>
      <c r="I247" s="77"/>
      <c r="J247" s="97"/>
      <c r="K247" s="1"/>
      <c r="L247" s="1"/>
      <c r="M247" s="1"/>
      <c r="N247" s="1"/>
      <c r="O247" s="1"/>
      <c r="P247" s="1"/>
      <c r="Q247" s="1"/>
      <c r="R247" s="1"/>
      <c r="S247" s="1"/>
      <c r="T247" s="1"/>
      <c r="U247" s="1"/>
      <c r="V247" s="1"/>
      <c r="W247" s="1"/>
      <c r="X247" s="1"/>
    </row>
    <row r="248" spans="1:24" ht="14.25" customHeight="1" x14ac:dyDescent="0.2">
      <c r="A248" s="79"/>
      <c r="B248" s="76"/>
      <c r="C248" s="76"/>
      <c r="D248" s="78"/>
      <c r="E248" s="77"/>
      <c r="F248" s="77"/>
      <c r="G248" s="77"/>
      <c r="H248" s="77"/>
      <c r="I248" s="77"/>
      <c r="J248" s="97"/>
      <c r="K248" s="1"/>
      <c r="L248" s="1"/>
      <c r="M248" s="1"/>
      <c r="N248" s="1"/>
      <c r="O248" s="1"/>
      <c r="P248" s="1"/>
      <c r="Q248" s="1"/>
      <c r="R248" s="1"/>
      <c r="S248" s="1"/>
      <c r="T248" s="1"/>
      <c r="U248" s="1"/>
      <c r="V248" s="1"/>
      <c r="W248" s="1"/>
      <c r="X248" s="1"/>
    </row>
    <row r="249" spans="1:24" ht="14.25" customHeight="1" x14ac:dyDescent="0.2">
      <c r="A249" s="79"/>
      <c r="B249" s="76"/>
      <c r="C249" s="76"/>
      <c r="D249" s="78"/>
      <c r="E249" s="77"/>
      <c r="F249" s="77"/>
      <c r="G249" s="77"/>
      <c r="H249" s="77"/>
      <c r="I249" s="77"/>
      <c r="J249" s="97"/>
      <c r="K249" s="1"/>
      <c r="L249" s="1"/>
      <c r="M249" s="1"/>
      <c r="N249" s="1"/>
      <c r="O249" s="1"/>
      <c r="P249" s="1"/>
      <c r="Q249" s="1"/>
      <c r="R249" s="1"/>
      <c r="S249" s="1"/>
      <c r="T249" s="1"/>
      <c r="U249" s="1"/>
      <c r="V249" s="1"/>
      <c r="W249" s="1"/>
      <c r="X249" s="1"/>
    </row>
    <row r="250" spans="1:24" ht="14.25" customHeight="1" x14ac:dyDescent="0.2">
      <c r="A250" s="79"/>
      <c r="B250" s="76"/>
      <c r="C250" s="76"/>
      <c r="D250" s="78"/>
      <c r="E250" s="77"/>
      <c r="F250" s="77"/>
      <c r="G250" s="77"/>
      <c r="H250" s="77"/>
      <c r="I250" s="77"/>
      <c r="J250" s="97"/>
      <c r="K250" s="1"/>
      <c r="L250" s="1"/>
      <c r="M250" s="1"/>
      <c r="N250" s="1"/>
      <c r="O250" s="1"/>
      <c r="P250" s="1"/>
      <c r="Q250" s="1"/>
      <c r="R250" s="1"/>
      <c r="S250" s="1"/>
      <c r="T250" s="1"/>
      <c r="U250" s="1"/>
      <c r="V250" s="1"/>
      <c r="W250" s="1"/>
      <c r="X250" s="1"/>
    </row>
    <row r="251" spans="1:24" ht="14.25" customHeight="1" x14ac:dyDescent="0.2">
      <c r="A251" s="79"/>
      <c r="B251" s="76"/>
      <c r="C251" s="76"/>
      <c r="D251" s="78"/>
      <c r="E251" s="77"/>
      <c r="F251" s="77"/>
      <c r="G251" s="77"/>
      <c r="H251" s="77"/>
      <c r="I251" s="77"/>
      <c r="J251" s="97"/>
      <c r="K251" s="1"/>
      <c r="L251" s="1"/>
      <c r="M251" s="1"/>
      <c r="N251" s="1"/>
      <c r="O251" s="1"/>
      <c r="P251" s="1"/>
      <c r="Q251" s="1"/>
      <c r="R251" s="1"/>
      <c r="S251" s="1"/>
      <c r="T251" s="1"/>
      <c r="U251" s="1"/>
      <c r="V251" s="1"/>
      <c r="W251" s="1"/>
      <c r="X251" s="1"/>
    </row>
    <row r="252" spans="1:24" ht="14.25" customHeight="1" x14ac:dyDescent="0.2">
      <c r="A252" s="79"/>
      <c r="B252" s="76"/>
      <c r="C252" s="76"/>
      <c r="D252" s="78"/>
      <c r="E252" s="77"/>
      <c r="F252" s="77"/>
      <c r="G252" s="77"/>
      <c r="H252" s="77"/>
      <c r="I252" s="77"/>
      <c r="J252" s="97"/>
      <c r="K252" s="1"/>
      <c r="L252" s="1"/>
      <c r="M252" s="1"/>
      <c r="N252" s="1"/>
      <c r="O252" s="1"/>
      <c r="P252" s="1"/>
      <c r="Q252" s="1"/>
      <c r="R252" s="1"/>
      <c r="S252" s="1"/>
      <c r="T252" s="1"/>
      <c r="U252" s="1"/>
      <c r="V252" s="1"/>
      <c r="W252" s="1"/>
      <c r="X252" s="1"/>
    </row>
    <row r="253" spans="1:24" ht="14.25" customHeight="1" x14ac:dyDescent="0.2">
      <c r="A253" s="79"/>
      <c r="B253" s="76"/>
      <c r="C253" s="76"/>
      <c r="D253" s="78"/>
      <c r="E253" s="77"/>
      <c r="F253" s="77"/>
      <c r="G253" s="77"/>
      <c r="H253" s="77"/>
      <c r="I253" s="77"/>
      <c r="J253" s="97"/>
      <c r="K253" s="1"/>
      <c r="L253" s="1"/>
      <c r="M253" s="1"/>
      <c r="N253" s="1"/>
      <c r="O253" s="1"/>
      <c r="P253" s="1"/>
      <c r="Q253" s="1"/>
      <c r="R253" s="1"/>
      <c r="S253" s="1"/>
      <c r="T253" s="1"/>
      <c r="U253" s="1"/>
      <c r="V253" s="1"/>
      <c r="W253" s="1"/>
      <c r="X253" s="1"/>
    </row>
    <row r="254" spans="1:24" ht="14.25" customHeight="1" x14ac:dyDescent="0.2">
      <c r="A254" s="79"/>
      <c r="B254" s="76"/>
      <c r="C254" s="76"/>
      <c r="D254" s="78"/>
      <c r="E254" s="77"/>
      <c r="F254" s="77"/>
      <c r="G254" s="77"/>
      <c r="H254" s="77"/>
      <c r="I254" s="77"/>
      <c r="J254" s="97"/>
      <c r="K254" s="1"/>
      <c r="L254" s="1"/>
      <c r="M254" s="1"/>
      <c r="N254" s="1"/>
      <c r="O254" s="1"/>
      <c r="P254" s="1"/>
      <c r="Q254" s="1"/>
      <c r="R254" s="1"/>
      <c r="S254" s="1"/>
      <c r="T254" s="1"/>
      <c r="U254" s="1"/>
      <c r="V254" s="1"/>
      <c r="W254" s="1"/>
      <c r="X254" s="1"/>
    </row>
    <row r="255" spans="1:24" ht="14.25" customHeight="1" x14ac:dyDescent="0.2">
      <c r="A255" s="79"/>
      <c r="B255" s="76"/>
      <c r="C255" s="76"/>
      <c r="D255" s="78"/>
      <c r="E255" s="77"/>
      <c r="F255" s="77"/>
      <c r="G255" s="77"/>
      <c r="H255" s="77"/>
      <c r="I255" s="77"/>
      <c r="J255" s="97"/>
      <c r="K255" s="1"/>
      <c r="L255" s="1"/>
      <c r="M255" s="1"/>
      <c r="N255" s="1"/>
      <c r="O255" s="1"/>
      <c r="P255" s="1"/>
      <c r="Q255" s="1"/>
      <c r="R255" s="1"/>
      <c r="S255" s="1"/>
      <c r="T255" s="1"/>
      <c r="U255" s="1"/>
      <c r="V255" s="1"/>
      <c r="W255" s="1"/>
      <c r="X255" s="1"/>
    </row>
    <row r="256" spans="1:24" ht="14.25" customHeight="1" x14ac:dyDescent="0.2">
      <c r="A256" s="79"/>
      <c r="B256" s="76"/>
      <c r="C256" s="76"/>
      <c r="D256" s="78"/>
      <c r="E256" s="77"/>
      <c r="F256" s="77"/>
      <c r="G256" s="77"/>
      <c r="H256" s="77"/>
      <c r="I256" s="77"/>
      <c r="J256" s="97"/>
      <c r="K256" s="1"/>
      <c r="L256" s="1"/>
      <c r="M256" s="1"/>
      <c r="N256" s="1"/>
      <c r="O256" s="1"/>
      <c r="P256" s="1"/>
      <c r="Q256" s="1"/>
      <c r="R256" s="1"/>
      <c r="S256" s="1"/>
      <c r="T256" s="1"/>
      <c r="U256" s="1"/>
      <c r="V256" s="1"/>
      <c r="W256" s="1"/>
      <c r="X256" s="1"/>
    </row>
    <row r="257" spans="1:24" ht="14.25" customHeight="1" x14ac:dyDescent="0.2">
      <c r="A257" s="79"/>
      <c r="B257" s="76"/>
      <c r="C257" s="76"/>
      <c r="D257" s="78"/>
      <c r="E257" s="77"/>
      <c r="F257" s="77"/>
      <c r="G257" s="77"/>
      <c r="H257" s="77"/>
      <c r="I257" s="77"/>
      <c r="J257" s="97"/>
      <c r="K257" s="1"/>
      <c r="L257" s="1"/>
      <c r="M257" s="1"/>
      <c r="N257" s="1"/>
      <c r="O257" s="1"/>
      <c r="P257" s="1"/>
      <c r="Q257" s="1"/>
      <c r="R257" s="1"/>
      <c r="S257" s="1"/>
      <c r="T257" s="1"/>
      <c r="U257" s="1"/>
      <c r="V257" s="1"/>
      <c r="W257" s="1"/>
      <c r="X257" s="1"/>
    </row>
    <row r="258" spans="1:24" ht="14.25" customHeight="1" x14ac:dyDescent="0.2">
      <c r="A258" s="79"/>
      <c r="B258" s="76"/>
      <c r="C258" s="76"/>
      <c r="D258" s="78"/>
      <c r="E258" s="77"/>
      <c r="F258" s="77"/>
      <c r="G258" s="77"/>
      <c r="H258" s="77"/>
      <c r="I258" s="77"/>
      <c r="J258" s="97"/>
      <c r="K258" s="1"/>
      <c r="L258" s="1"/>
      <c r="M258" s="1"/>
      <c r="N258" s="1"/>
      <c r="O258" s="1"/>
      <c r="P258" s="1"/>
      <c r="Q258" s="1"/>
      <c r="R258" s="1"/>
      <c r="S258" s="1"/>
      <c r="T258" s="1"/>
      <c r="U258" s="1"/>
      <c r="V258" s="1"/>
      <c r="W258" s="1"/>
      <c r="X258" s="1"/>
    </row>
    <row r="259" spans="1:24" ht="14.25" customHeight="1" x14ac:dyDescent="0.2">
      <c r="A259" s="79"/>
      <c r="B259" s="76"/>
      <c r="C259" s="76"/>
      <c r="D259" s="78"/>
      <c r="E259" s="77"/>
      <c r="F259" s="77"/>
      <c r="G259" s="77"/>
      <c r="H259" s="77"/>
      <c r="I259" s="77"/>
      <c r="J259" s="97"/>
      <c r="K259" s="1"/>
      <c r="L259" s="1"/>
      <c r="M259" s="1"/>
      <c r="N259" s="1"/>
      <c r="O259" s="1"/>
      <c r="P259" s="1"/>
      <c r="Q259" s="1"/>
      <c r="R259" s="1"/>
      <c r="S259" s="1"/>
      <c r="T259" s="1"/>
      <c r="U259" s="1"/>
      <c r="V259" s="1"/>
      <c r="W259" s="1"/>
      <c r="X259" s="1"/>
    </row>
    <row r="260" spans="1:24" ht="14.25" customHeight="1" x14ac:dyDescent="0.2">
      <c r="A260" s="79"/>
      <c r="B260" s="76"/>
      <c r="C260" s="76"/>
      <c r="D260" s="78"/>
      <c r="E260" s="77"/>
      <c r="F260" s="77"/>
      <c r="G260" s="77"/>
      <c r="H260" s="77"/>
      <c r="I260" s="77"/>
      <c r="J260" s="97"/>
      <c r="K260" s="1"/>
      <c r="L260" s="1"/>
      <c r="M260" s="1"/>
      <c r="N260" s="1"/>
      <c r="O260" s="1"/>
      <c r="P260" s="1"/>
      <c r="Q260" s="1"/>
      <c r="R260" s="1"/>
      <c r="S260" s="1"/>
      <c r="T260" s="1"/>
      <c r="U260" s="1"/>
      <c r="V260" s="1"/>
      <c r="W260" s="1"/>
      <c r="X260" s="1"/>
    </row>
    <row r="261" spans="1:24" ht="14.25" customHeight="1" x14ac:dyDescent="0.2">
      <c r="A261" s="79"/>
      <c r="B261" s="76"/>
      <c r="C261" s="76"/>
      <c r="D261" s="78"/>
      <c r="E261" s="77"/>
      <c r="F261" s="77"/>
      <c r="G261" s="77"/>
      <c r="H261" s="77"/>
      <c r="I261" s="77"/>
      <c r="J261" s="97"/>
      <c r="K261" s="1"/>
      <c r="L261" s="1"/>
      <c r="M261" s="1"/>
      <c r="N261" s="1"/>
      <c r="O261" s="1"/>
      <c r="P261" s="1"/>
      <c r="Q261" s="1"/>
      <c r="R261" s="1"/>
      <c r="S261" s="1"/>
      <c r="T261" s="1"/>
      <c r="U261" s="1"/>
      <c r="V261" s="1"/>
      <c r="W261" s="1"/>
      <c r="X261" s="1"/>
    </row>
    <row r="262" spans="1:24" ht="14.25" customHeight="1" x14ac:dyDescent="0.2">
      <c r="A262" s="79"/>
      <c r="B262" s="76"/>
      <c r="C262" s="76"/>
      <c r="D262" s="78"/>
      <c r="E262" s="77"/>
      <c r="F262" s="77"/>
      <c r="G262" s="77"/>
      <c r="H262" s="77"/>
      <c r="I262" s="77"/>
      <c r="J262" s="97"/>
      <c r="K262" s="1"/>
      <c r="L262" s="1"/>
      <c r="M262" s="1"/>
      <c r="N262" s="1"/>
      <c r="O262" s="1"/>
      <c r="P262" s="1"/>
      <c r="Q262" s="1"/>
      <c r="R262" s="1"/>
      <c r="S262" s="1"/>
      <c r="T262" s="1"/>
      <c r="U262" s="1"/>
      <c r="V262" s="1"/>
      <c r="W262" s="1"/>
      <c r="X262" s="1"/>
    </row>
    <row r="263" spans="1:24" ht="14.25" customHeight="1" x14ac:dyDescent="0.2">
      <c r="A263" s="79"/>
      <c r="B263" s="76"/>
      <c r="C263" s="76"/>
      <c r="D263" s="78"/>
      <c r="E263" s="77"/>
      <c r="F263" s="77"/>
      <c r="G263" s="77"/>
      <c r="H263" s="77"/>
      <c r="I263" s="77"/>
      <c r="J263" s="97"/>
      <c r="K263" s="1"/>
      <c r="L263" s="1"/>
      <c r="M263" s="1"/>
      <c r="N263" s="1"/>
      <c r="O263" s="1"/>
      <c r="P263" s="1"/>
      <c r="Q263" s="1"/>
      <c r="R263" s="1"/>
      <c r="S263" s="1"/>
      <c r="T263" s="1"/>
      <c r="U263" s="1"/>
      <c r="V263" s="1"/>
      <c r="W263" s="1"/>
      <c r="X263" s="1"/>
    </row>
    <row r="264" spans="1:24" ht="14.25" customHeight="1" x14ac:dyDescent="0.2">
      <c r="A264" s="79"/>
      <c r="B264" s="76"/>
      <c r="C264" s="76"/>
      <c r="D264" s="78"/>
      <c r="E264" s="77"/>
      <c r="F264" s="77"/>
      <c r="G264" s="77"/>
      <c r="H264" s="77"/>
      <c r="I264" s="77"/>
      <c r="J264" s="97"/>
      <c r="K264" s="1"/>
      <c r="L264" s="1"/>
      <c r="M264" s="1"/>
      <c r="N264" s="1"/>
      <c r="O264" s="1"/>
      <c r="P264" s="1"/>
      <c r="Q264" s="1"/>
      <c r="R264" s="1"/>
      <c r="S264" s="1"/>
      <c r="T264" s="1"/>
      <c r="U264" s="1"/>
      <c r="V264" s="1"/>
      <c r="W264" s="1"/>
      <c r="X264" s="1"/>
    </row>
    <row r="265" spans="1:24" ht="14.25" customHeight="1" x14ac:dyDescent="0.2">
      <c r="A265" s="79"/>
      <c r="B265" s="76"/>
      <c r="C265" s="76"/>
      <c r="D265" s="78"/>
      <c r="E265" s="77"/>
      <c r="F265" s="77"/>
      <c r="G265" s="77"/>
      <c r="H265" s="77"/>
      <c r="I265" s="77"/>
      <c r="J265" s="97"/>
      <c r="K265" s="1"/>
      <c r="L265" s="1"/>
      <c r="M265" s="1"/>
      <c r="N265" s="1"/>
      <c r="O265" s="1"/>
      <c r="P265" s="1"/>
      <c r="Q265" s="1"/>
      <c r="R265" s="1"/>
      <c r="S265" s="1"/>
      <c r="T265" s="1"/>
      <c r="U265" s="1"/>
      <c r="V265" s="1"/>
      <c r="W265" s="1"/>
      <c r="X265" s="1"/>
    </row>
    <row r="266" spans="1:24" ht="14.25" customHeight="1" x14ac:dyDescent="0.2">
      <c r="A266" s="79"/>
      <c r="B266" s="76"/>
      <c r="C266" s="76"/>
      <c r="D266" s="78"/>
      <c r="E266" s="77"/>
      <c r="F266" s="77"/>
      <c r="G266" s="77"/>
      <c r="H266" s="77"/>
      <c r="I266" s="77"/>
      <c r="J266" s="97"/>
      <c r="K266" s="1"/>
      <c r="L266" s="1"/>
      <c r="M266" s="1"/>
      <c r="N266" s="1"/>
      <c r="O266" s="1"/>
      <c r="P266" s="1"/>
      <c r="Q266" s="1"/>
      <c r="R266" s="1"/>
      <c r="S266" s="1"/>
      <c r="T266" s="1"/>
      <c r="U266" s="1"/>
      <c r="V266" s="1"/>
      <c r="W266" s="1"/>
      <c r="X266" s="1"/>
    </row>
    <row r="267" spans="1:24" ht="14.25" customHeight="1" x14ac:dyDescent="0.2">
      <c r="A267" s="79"/>
      <c r="B267" s="76"/>
      <c r="C267" s="76"/>
      <c r="D267" s="78"/>
      <c r="E267" s="77"/>
      <c r="F267" s="77"/>
      <c r="G267" s="77"/>
      <c r="H267" s="77"/>
      <c r="I267" s="77"/>
      <c r="J267" s="97"/>
      <c r="K267" s="1"/>
      <c r="L267" s="1"/>
      <c r="M267" s="1"/>
      <c r="N267" s="1"/>
      <c r="O267" s="1"/>
      <c r="P267" s="1"/>
      <c r="Q267" s="1"/>
      <c r="R267" s="1"/>
      <c r="S267" s="1"/>
      <c r="T267" s="1"/>
      <c r="U267" s="1"/>
      <c r="V267" s="1"/>
      <c r="W267" s="1"/>
      <c r="X267" s="1"/>
    </row>
    <row r="268" spans="1:24" ht="14.25" customHeight="1" x14ac:dyDescent="0.2">
      <c r="A268" s="79"/>
      <c r="B268" s="76"/>
      <c r="C268" s="76"/>
      <c r="D268" s="78"/>
      <c r="E268" s="77"/>
      <c r="F268" s="77"/>
      <c r="G268" s="77"/>
      <c r="H268" s="77"/>
      <c r="I268" s="77"/>
      <c r="J268" s="97"/>
      <c r="K268" s="1"/>
      <c r="L268" s="1"/>
      <c r="M268" s="1"/>
      <c r="N268" s="1"/>
      <c r="O268" s="1"/>
      <c r="P268" s="1"/>
      <c r="Q268" s="1"/>
      <c r="R268" s="1"/>
      <c r="S268" s="1"/>
      <c r="T268" s="1"/>
      <c r="U268" s="1"/>
      <c r="V268" s="1"/>
      <c r="W268" s="1"/>
      <c r="X268" s="1"/>
    </row>
    <row r="269" spans="1:24" ht="14.25" customHeight="1" x14ac:dyDescent="0.2">
      <c r="A269" s="79"/>
      <c r="B269" s="76"/>
      <c r="C269" s="76"/>
      <c r="D269" s="78"/>
      <c r="E269" s="77"/>
      <c r="F269" s="77"/>
      <c r="G269" s="77"/>
      <c r="H269" s="77"/>
      <c r="I269" s="77"/>
      <c r="J269" s="97"/>
      <c r="K269" s="1"/>
      <c r="L269" s="1"/>
      <c r="M269" s="1"/>
      <c r="N269" s="1"/>
      <c r="O269" s="1"/>
      <c r="P269" s="1"/>
      <c r="Q269" s="1"/>
      <c r="R269" s="1"/>
      <c r="S269" s="1"/>
      <c r="T269" s="1"/>
      <c r="U269" s="1"/>
      <c r="V269" s="1"/>
      <c r="W269" s="1"/>
      <c r="X269" s="1"/>
    </row>
    <row r="270" spans="1:24" ht="14.25" customHeight="1" x14ac:dyDescent="0.2">
      <c r="A270" s="79"/>
      <c r="B270" s="76"/>
      <c r="C270" s="76"/>
      <c r="D270" s="78"/>
      <c r="E270" s="77"/>
      <c r="F270" s="77"/>
      <c r="G270" s="77"/>
      <c r="H270" s="77"/>
      <c r="I270" s="77"/>
      <c r="J270" s="97"/>
      <c r="K270" s="1"/>
      <c r="L270" s="1"/>
      <c r="M270" s="1"/>
      <c r="N270" s="1"/>
      <c r="O270" s="1"/>
      <c r="P270" s="1"/>
      <c r="Q270" s="1"/>
      <c r="R270" s="1"/>
      <c r="S270" s="1"/>
      <c r="T270" s="1"/>
      <c r="U270" s="1"/>
      <c r="V270" s="1"/>
      <c r="W270" s="1"/>
      <c r="X270" s="1"/>
    </row>
    <row r="271" spans="1:24" ht="14.25" customHeight="1" x14ac:dyDescent="0.2">
      <c r="A271" s="79"/>
      <c r="B271" s="76"/>
      <c r="C271" s="76"/>
      <c r="D271" s="78"/>
      <c r="E271" s="77"/>
      <c r="F271" s="77"/>
      <c r="G271" s="77"/>
      <c r="H271" s="77"/>
      <c r="I271" s="77"/>
      <c r="J271" s="97"/>
      <c r="K271" s="1"/>
      <c r="L271" s="1"/>
      <c r="M271" s="1"/>
      <c r="N271" s="1"/>
      <c r="O271" s="1"/>
      <c r="P271" s="1"/>
      <c r="Q271" s="1"/>
      <c r="R271" s="1"/>
      <c r="S271" s="1"/>
      <c r="T271" s="1"/>
      <c r="U271" s="1"/>
      <c r="V271" s="1"/>
      <c r="W271" s="1"/>
      <c r="X271" s="1"/>
    </row>
    <row r="272" spans="1:24" ht="14.25" customHeight="1" x14ac:dyDescent="0.2">
      <c r="A272" s="79"/>
      <c r="B272" s="76"/>
      <c r="C272" s="76"/>
      <c r="D272" s="78"/>
      <c r="E272" s="77"/>
      <c r="F272" s="77"/>
      <c r="G272" s="77"/>
      <c r="H272" s="77"/>
      <c r="I272" s="77"/>
      <c r="J272" s="97"/>
      <c r="K272" s="1"/>
      <c r="L272" s="1"/>
      <c r="M272" s="1"/>
      <c r="N272" s="1"/>
      <c r="O272" s="1"/>
      <c r="P272" s="1"/>
      <c r="Q272" s="1"/>
      <c r="R272" s="1"/>
      <c r="S272" s="1"/>
      <c r="T272" s="1"/>
      <c r="U272" s="1"/>
      <c r="V272" s="1"/>
      <c r="W272" s="1"/>
      <c r="X272" s="1"/>
    </row>
    <row r="273" spans="1:24" ht="14.25" customHeight="1" x14ac:dyDescent="0.2">
      <c r="A273" s="79"/>
      <c r="B273" s="76"/>
      <c r="C273" s="76"/>
      <c r="D273" s="78"/>
      <c r="E273" s="77"/>
      <c r="F273" s="77"/>
      <c r="G273" s="77"/>
      <c r="H273" s="77"/>
      <c r="I273" s="77"/>
      <c r="J273" s="97"/>
      <c r="K273" s="1"/>
      <c r="L273" s="1"/>
      <c r="M273" s="1"/>
      <c r="N273" s="1"/>
      <c r="O273" s="1"/>
      <c r="P273" s="1"/>
      <c r="Q273" s="1"/>
      <c r="R273" s="1"/>
      <c r="S273" s="1"/>
      <c r="T273" s="1"/>
      <c r="U273" s="1"/>
      <c r="V273" s="1"/>
      <c r="W273" s="1"/>
      <c r="X273" s="1"/>
    </row>
    <row r="274" spans="1:24" ht="14.25" customHeight="1" x14ac:dyDescent="0.2">
      <c r="A274" s="79"/>
      <c r="B274" s="76"/>
      <c r="C274" s="76"/>
      <c r="D274" s="78"/>
      <c r="E274" s="77"/>
      <c r="F274" s="77"/>
      <c r="G274" s="77"/>
      <c r="H274" s="77"/>
      <c r="I274" s="77"/>
      <c r="J274" s="97"/>
      <c r="K274" s="1"/>
      <c r="L274" s="1"/>
      <c r="M274" s="1"/>
      <c r="N274" s="1"/>
      <c r="O274" s="1"/>
      <c r="P274" s="1"/>
      <c r="Q274" s="1"/>
      <c r="R274" s="1"/>
      <c r="S274" s="1"/>
      <c r="T274" s="1"/>
      <c r="U274" s="1"/>
      <c r="V274" s="1"/>
      <c r="W274" s="1"/>
      <c r="X274" s="1"/>
    </row>
    <row r="275" spans="1:24" ht="14.25" customHeight="1" x14ac:dyDescent="0.2">
      <c r="A275" s="79"/>
      <c r="B275" s="76"/>
      <c r="C275" s="76"/>
      <c r="D275" s="78"/>
      <c r="E275" s="77"/>
      <c r="F275" s="77"/>
      <c r="G275" s="77"/>
      <c r="H275" s="77"/>
      <c r="I275" s="77"/>
      <c r="J275" s="97"/>
      <c r="K275" s="1"/>
      <c r="L275" s="1"/>
      <c r="M275" s="1"/>
      <c r="N275" s="1"/>
      <c r="O275" s="1"/>
      <c r="P275" s="1"/>
      <c r="Q275" s="1"/>
      <c r="R275" s="1"/>
      <c r="S275" s="1"/>
      <c r="T275" s="1"/>
      <c r="U275" s="1"/>
      <c r="V275" s="1"/>
      <c r="W275" s="1"/>
      <c r="X275" s="1"/>
    </row>
    <row r="276" spans="1:24" ht="14.25" customHeight="1" x14ac:dyDescent="0.2">
      <c r="A276" s="79"/>
      <c r="B276" s="76"/>
      <c r="C276" s="76"/>
      <c r="D276" s="78"/>
      <c r="E276" s="77"/>
      <c r="F276" s="77"/>
      <c r="G276" s="77"/>
      <c r="H276" s="77"/>
      <c r="I276" s="77"/>
      <c r="J276" s="97"/>
      <c r="K276" s="1"/>
      <c r="L276" s="1"/>
      <c r="M276" s="1"/>
      <c r="N276" s="1"/>
      <c r="O276" s="1"/>
      <c r="P276" s="1"/>
      <c r="Q276" s="1"/>
      <c r="R276" s="1"/>
      <c r="S276" s="1"/>
      <c r="T276" s="1"/>
      <c r="U276" s="1"/>
      <c r="V276" s="1"/>
      <c r="W276" s="1"/>
      <c r="X276" s="1"/>
    </row>
    <row r="277" spans="1:24" ht="14.25" customHeight="1" x14ac:dyDescent="0.2">
      <c r="A277" s="79"/>
      <c r="B277" s="76"/>
      <c r="C277" s="76"/>
      <c r="D277" s="78"/>
      <c r="E277" s="77"/>
      <c r="F277" s="77"/>
      <c r="G277" s="77"/>
      <c r="H277" s="77"/>
      <c r="I277" s="77"/>
      <c r="J277" s="97"/>
      <c r="K277" s="1"/>
      <c r="L277" s="1"/>
      <c r="M277" s="1"/>
      <c r="N277" s="1"/>
      <c r="O277" s="1"/>
      <c r="P277" s="1"/>
      <c r="Q277" s="1"/>
      <c r="R277" s="1"/>
      <c r="S277" s="1"/>
      <c r="T277" s="1"/>
      <c r="U277" s="1"/>
      <c r="V277" s="1"/>
      <c r="W277" s="1"/>
      <c r="X277" s="1"/>
    </row>
    <row r="278" spans="1:24" ht="14.25" customHeight="1" x14ac:dyDescent="0.2">
      <c r="A278" s="79"/>
      <c r="B278" s="76"/>
      <c r="C278" s="76"/>
      <c r="D278" s="78"/>
      <c r="E278" s="77"/>
      <c r="F278" s="77"/>
      <c r="G278" s="77"/>
      <c r="H278" s="77"/>
      <c r="I278" s="77"/>
      <c r="J278" s="97"/>
      <c r="K278" s="1"/>
      <c r="L278" s="1"/>
      <c r="M278" s="1"/>
      <c r="N278" s="1"/>
      <c r="O278" s="1"/>
      <c r="P278" s="1"/>
      <c r="Q278" s="1"/>
      <c r="R278" s="1"/>
      <c r="S278" s="1"/>
      <c r="T278" s="1"/>
      <c r="U278" s="1"/>
      <c r="V278" s="1"/>
      <c r="W278" s="1"/>
      <c r="X278" s="1"/>
    </row>
    <row r="279" spans="1:24" ht="14.25" customHeight="1" x14ac:dyDescent="0.2">
      <c r="A279" s="79"/>
      <c r="B279" s="76"/>
      <c r="C279" s="76"/>
      <c r="D279" s="78"/>
      <c r="E279" s="77"/>
      <c r="F279" s="77"/>
      <c r="G279" s="77"/>
      <c r="H279" s="77"/>
      <c r="I279" s="77"/>
      <c r="J279" s="97"/>
      <c r="K279" s="1"/>
      <c r="L279" s="1"/>
      <c r="M279" s="1"/>
      <c r="N279" s="1"/>
      <c r="O279" s="1"/>
      <c r="P279" s="1"/>
      <c r="Q279" s="1"/>
      <c r="R279" s="1"/>
      <c r="S279" s="1"/>
      <c r="T279" s="1"/>
      <c r="U279" s="1"/>
      <c r="V279" s="1"/>
      <c r="W279" s="1"/>
      <c r="X279" s="1"/>
    </row>
    <row r="280" spans="1:24" ht="14.25" customHeight="1" x14ac:dyDescent="0.2">
      <c r="A280" s="79"/>
      <c r="B280" s="76"/>
      <c r="C280" s="76"/>
      <c r="D280" s="78"/>
      <c r="E280" s="77"/>
      <c r="F280" s="77"/>
      <c r="G280" s="77"/>
      <c r="H280" s="77"/>
      <c r="I280" s="77"/>
      <c r="J280" s="97"/>
      <c r="K280" s="1"/>
      <c r="L280" s="1"/>
      <c r="M280" s="1"/>
      <c r="N280" s="1"/>
      <c r="O280" s="1"/>
      <c r="P280" s="1"/>
      <c r="Q280" s="1"/>
      <c r="R280" s="1"/>
      <c r="S280" s="1"/>
      <c r="T280" s="1"/>
      <c r="U280" s="1"/>
      <c r="V280" s="1"/>
      <c r="W280" s="1"/>
      <c r="X280" s="1"/>
    </row>
    <row r="281" spans="1:24" ht="14.25" customHeight="1" x14ac:dyDescent="0.2">
      <c r="A281" s="79"/>
      <c r="B281" s="76"/>
      <c r="C281" s="76"/>
      <c r="D281" s="78"/>
      <c r="E281" s="77"/>
      <c r="F281" s="77"/>
      <c r="G281" s="77"/>
      <c r="H281" s="77"/>
      <c r="I281" s="77"/>
      <c r="J281" s="97"/>
      <c r="K281" s="1"/>
      <c r="L281" s="1"/>
      <c r="M281" s="1"/>
      <c r="N281" s="1"/>
      <c r="O281" s="1"/>
      <c r="P281" s="1"/>
      <c r="Q281" s="1"/>
      <c r="R281" s="1"/>
      <c r="S281" s="1"/>
      <c r="T281" s="1"/>
      <c r="U281" s="1"/>
      <c r="V281" s="1"/>
      <c r="W281" s="1"/>
      <c r="X281" s="1"/>
    </row>
    <row r="282" spans="1:24" ht="14.25" customHeight="1" x14ac:dyDescent="0.2">
      <c r="A282" s="79"/>
      <c r="B282" s="76"/>
      <c r="C282" s="76"/>
      <c r="D282" s="78"/>
      <c r="E282" s="77"/>
      <c r="F282" s="77"/>
      <c r="G282" s="77"/>
      <c r="H282" s="77"/>
      <c r="I282" s="77"/>
      <c r="J282" s="97"/>
      <c r="K282" s="1"/>
      <c r="L282" s="1"/>
      <c r="M282" s="1"/>
      <c r="N282" s="1"/>
      <c r="O282" s="1"/>
      <c r="P282" s="1"/>
      <c r="Q282" s="1"/>
      <c r="R282" s="1"/>
      <c r="S282" s="1"/>
      <c r="T282" s="1"/>
      <c r="U282" s="1"/>
      <c r="V282" s="1"/>
      <c r="W282" s="1"/>
      <c r="X282" s="1"/>
    </row>
    <row r="283" spans="1:24" ht="14.25" customHeight="1" x14ac:dyDescent="0.2">
      <c r="A283" s="79"/>
      <c r="B283" s="76"/>
      <c r="C283" s="76"/>
      <c r="D283" s="78"/>
      <c r="E283" s="77"/>
      <c r="F283" s="77"/>
      <c r="G283" s="77"/>
      <c r="H283" s="77"/>
      <c r="I283" s="77"/>
      <c r="J283" s="97"/>
      <c r="K283" s="1"/>
      <c r="L283" s="1"/>
      <c r="M283" s="1"/>
      <c r="N283" s="1"/>
      <c r="O283" s="1"/>
      <c r="P283" s="1"/>
      <c r="Q283" s="1"/>
      <c r="R283" s="1"/>
      <c r="S283" s="1"/>
      <c r="T283" s="1"/>
      <c r="U283" s="1"/>
      <c r="V283" s="1"/>
      <c r="W283" s="1"/>
      <c r="X283" s="1"/>
    </row>
    <row r="284" spans="1:24" ht="14.25" customHeight="1" x14ac:dyDescent="0.2">
      <c r="A284" s="79"/>
      <c r="B284" s="76"/>
      <c r="C284" s="76"/>
      <c r="D284" s="78"/>
      <c r="E284" s="77"/>
      <c r="F284" s="77"/>
      <c r="G284" s="77"/>
      <c r="H284" s="77"/>
      <c r="I284" s="77"/>
      <c r="J284" s="97"/>
      <c r="K284" s="1"/>
      <c r="L284" s="1"/>
      <c r="M284" s="1"/>
      <c r="N284" s="1"/>
      <c r="O284" s="1"/>
      <c r="P284" s="1"/>
      <c r="Q284" s="1"/>
      <c r="R284" s="1"/>
      <c r="S284" s="1"/>
      <c r="T284" s="1"/>
      <c r="U284" s="1"/>
      <c r="V284" s="1"/>
      <c r="W284" s="1"/>
      <c r="X284" s="1"/>
    </row>
    <row r="285" spans="1:24" ht="14.25" customHeight="1" x14ac:dyDescent="0.2">
      <c r="A285" s="79"/>
      <c r="B285" s="76"/>
      <c r="C285" s="76"/>
      <c r="D285" s="78"/>
      <c r="E285" s="77"/>
      <c r="F285" s="77"/>
      <c r="G285" s="77"/>
      <c r="H285" s="77"/>
      <c r="I285" s="77"/>
      <c r="J285" s="97"/>
      <c r="K285" s="1"/>
      <c r="L285" s="1"/>
      <c r="M285" s="1"/>
      <c r="N285" s="1"/>
      <c r="O285" s="1"/>
      <c r="P285" s="1"/>
      <c r="Q285" s="1"/>
      <c r="R285" s="1"/>
      <c r="S285" s="1"/>
      <c r="T285" s="1"/>
      <c r="U285" s="1"/>
      <c r="V285" s="1"/>
      <c r="W285" s="1"/>
      <c r="X285" s="1"/>
    </row>
    <row r="286" spans="1:24" ht="14.25" customHeight="1" x14ac:dyDescent="0.2">
      <c r="A286" s="79"/>
      <c r="B286" s="76"/>
      <c r="C286" s="76"/>
      <c r="D286" s="78"/>
      <c r="E286" s="77"/>
      <c r="F286" s="77"/>
      <c r="G286" s="77"/>
      <c r="H286" s="77"/>
      <c r="I286" s="77"/>
      <c r="J286" s="97"/>
      <c r="K286" s="1"/>
      <c r="L286" s="1"/>
      <c r="M286" s="1"/>
      <c r="N286" s="1"/>
      <c r="O286" s="1"/>
      <c r="P286" s="1"/>
      <c r="Q286" s="1"/>
      <c r="R286" s="1"/>
      <c r="S286" s="1"/>
      <c r="T286" s="1"/>
      <c r="U286" s="1"/>
      <c r="V286" s="1"/>
      <c r="W286" s="1"/>
      <c r="X286" s="1"/>
    </row>
    <row r="287" spans="1:24" ht="14.25" customHeight="1" x14ac:dyDescent="0.2">
      <c r="A287" s="79"/>
      <c r="B287" s="76"/>
      <c r="C287" s="76"/>
      <c r="D287" s="78"/>
      <c r="E287" s="77"/>
      <c r="F287" s="77"/>
      <c r="G287" s="77"/>
      <c r="H287" s="77"/>
      <c r="I287" s="77"/>
      <c r="J287" s="97"/>
      <c r="K287" s="1"/>
      <c r="L287" s="1"/>
      <c r="M287" s="1"/>
      <c r="N287" s="1"/>
      <c r="O287" s="1"/>
      <c r="P287" s="1"/>
      <c r="Q287" s="1"/>
      <c r="R287" s="1"/>
      <c r="S287" s="1"/>
      <c r="T287" s="1"/>
      <c r="U287" s="1"/>
      <c r="V287" s="1"/>
      <c r="W287" s="1"/>
      <c r="X287" s="1"/>
    </row>
    <row r="288" spans="1:24" ht="14.25" customHeight="1" x14ac:dyDescent="0.2">
      <c r="A288" s="79"/>
      <c r="B288" s="76"/>
      <c r="C288" s="76"/>
      <c r="D288" s="78"/>
      <c r="E288" s="77"/>
      <c r="F288" s="77"/>
      <c r="G288" s="77"/>
      <c r="H288" s="77"/>
      <c r="I288" s="77"/>
      <c r="J288" s="97"/>
      <c r="K288" s="1"/>
      <c r="L288" s="1"/>
      <c r="M288" s="1"/>
      <c r="N288" s="1"/>
      <c r="O288" s="1"/>
      <c r="P288" s="1"/>
      <c r="Q288" s="1"/>
      <c r="R288" s="1"/>
      <c r="S288" s="1"/>
      <c r="T288" s="1"/>
      <c r="U288" s="1"/>
      <c r="V288" s="1"/>
      <c r="W288" s="1"/>
      <c r="X288" s="1"/>
    </row>
    <row r="289" spans="1:24" ht="14.25" customHeight="1" x14ac:dyDescent="0.2">
      <c r="A289" s="79"/>
      <c r="B289" s="76"/>
      <c r="C289" s="76"/>
      <c r="D289" s="78"/>
      <c r="E289" s="77"/>
      <c r="F289" s="77"/>
      <c r="G289" s="77"/>
      <c r="H289" s="77"/>
      <c r="I289" s="77"/>
      <c r="J289" s="97"/>
      <c r="K289" s="1"/>
      <c r="L289" s="1"/>
      <c r="M289" s="1"/>
      <c r="N289" s="1"/>
      <c r="O289" s="1"/>
      <c r="P289" s="1"/>
      <c r="Q289" s="1"/>
      <c r="R289" s="1"/>
      <c r="S289" s="1"/>
      <c r="T289" s="1"/>
      <c r="U289" s="1"/>
      <c r="V289" s="1"/>
      <c r="W289" s="1"/>
      <c r="X289" s="1"/>
    </row>
    <row r="290" spans="1:24" ht="14.25" customHeight="1" x14ac:dyDescent="0.2">
      <c r="A290" s="79"/>
      <c r="B290" s="76"/>
      <c r="C290" s="76"/>
      <c r="D290" s="78"/>
      <c r="E290" s="77"/>
      <c r="F290" s="77"/>
      <c r="G290" s="77"/>
      <c r="H290" s="77"/>
      <c r="I290" s="77"/>
      <c r="J290" s="97"/>
      <c r="K290" s="1"/>
      <c r="L290" s="1"/>
      <c r="M290" s="1"/>
      <c r="N290" s="1"/>
      <c r="O290" s="1"/>
      <c r="P290" s="1"/>
      <c r="Q290" s="1"/>
      <c r="R290" s="1"/>
      <c r="S290" s="1"/>
      <c r="T290" s="1"/>
      <c r="U290" s="1"/>
      <c r="V290" s="1"/>
      <c r="W290" s="1"/>
      <c r="X290" s="1"/>
    </row>
    <row r="291" spans="1:24" ht="14.25" customHeight="1" x14ac:dyDescent="0.2">
      <c r="A291" s="79"/>
      <c r="B291" s="76"/>
      <c r="C291" s="76"/>
      <c r="D291" s="78"/>
      <c r="E291" s="77"/>
      <c r="F291" s="77"/>
      <c r="G291" s="77"/>
      <c r="H291" s="77"/>
      <c r="I291" s="77"/>
      <c r="J291" s="97"/>
      <c r="K291" s="1"/>
      <c r="L291" s="1"/>
      <c r="M291" s="1"/>
      <c r="N291" s="1"/>
      <c r="O291" s="1"/>
      <c r="P291" s="1"/>
      <c r="Q291" s="1"/>
      <c r="R291" s="1"/>
      <c r="S291" s="1"/>
      <c r="T291" s="1"/>
      <c r="U291" s="1"/>
      <c r="V291" s="1"/>
      <c r="W291" s="1"/>
      <c r="X291" s="1"/>
    </row>
    <row r="292" spans="1:24" ht="14.25" customHeight="1" x14ac:dyDescent="0.2">
      <c r="A292" s="79"/>
      <c r="B292" s="76"/>
      <c r="C292" s="76"/>
      <c r="D292" s="78"/>
      <c r="E292" s="77"/>
      <c r="F292" s="77"/>
      <c r="G292" s="77"/>
      <c r="H292" s="77"/>
      <c r="I292" s="77"/>
      <c r="J292" s="97"/>
      <c r="K292" s="1"/>
      <c r="L292" s="1"/>
      <c r="M292" s="1"/>
      <c r="N292" s="1"/>
      <c r="O292" s="1"/>
      <c r="P292" s="1"/>
      <c r="Q292" s="1"/>
      <c r="R292" s="1"/>
      <c r="S292" s="1"/>
      <c r="T292" s="1"/>
      <c r="U292" s="1"/>
      <c r="V292" s="1"/>
      <c r="W292" s="1"/>
      <c r="X292" s="1"/>
    </row>
    <row r="293" spans="1:24" ht="14.25" customHeight="1" x14ac:dyDescent="0.2">
      <c r="A293" s="79"/>
      <c r="B293" s="76"/>
      <c r="C293" s="76"/>
      <c r="D293" s="78"/>
      <c r="E293" s="77"/>
      <c r="F293" s="77"/>
      <c r="G293" s="77"/>
      <c r="H293" s="77"/>
      <c r="I293" s="77"/>
      <c r="J293" s="97"/>
      <c r="K293" s="1"/>
      <c r="L293" s="1"/>
      <c r="M293" s="1"/>
      <c r="N293" s="1"/>
      <c r="O293" s="1"/>
      <c r="P293" s="1"/>
      <c r="Q293" s="1"/>
      <c r="R293" s="1"/>
      <c r="S293" s="1"/>
      <c r="T293" s="1"/>
      <c r="U293" s="1"/>
      <c r="V293" s="1"/>
      <c r="W293" s="1"/>
      <c r="X293" s="1"/>
    </row>
    <row r="294" spans="1:24" ht="14.25" customHeight="1" x14ac:dyDescent="0.2">
      <c r="A294" s="79"/>
      <c r="B294" s="76"/>
      <c r="C294" s="76"/>
      <c r="D294" s="78"/>
      <c r="E294" s="77"/>
      <c r="F294" s="77"/>
      <c r="G294" s="77"/>
      <c r="H294" s="77"/>
      <c r="I294" s="77"/>
      <c r="J294" s="97"/>
      <c r="K294" s="1"/>
      <c r="L294" s="1"/>
      <c r="M294" s="1"/>
      <c r="N294" s="1"/>
      <c r="O294" s="1"/>
      <c r="P294" s="1"/>
      <c r="Q294" s="1"/>
      <c r="R294" s="1"/>
      <c r="S294" s="1"/>
      <c r="T294" s="1"/>
      <c r="U294" s="1"/>
      <c r="V294" s="1"/>
      <c r="W294" s="1"/>
      <c r="X294" s="1"/>
    </row>
    <row r="295" spans="1:24" ht="14.25" customHeight="1" x14ac:dyDescent="0.2">
      <c r="A295" s="79"/>
      <c r="B295" s="76"/>
      <c r="C295" s="76"/>
      <c r="D295" s="78"/>
      <c r="E295" s="77"/>
      <c r="F295" s="77"/>
      <c r="G295" s="77"/>
      <c r="H295" s="77"/>
      <c r="I295" s="77"/>
      <c r="J295" s="97"/>
      <c r="K295" s="1"/>
      <c r="L295" s="1"/>
      <c r="M295" s="1"/>
      <c r="N295" s="1"/>
      <c r="O295" s="1"/>
      <c r="P295" s="1"/>
      <c r="Q295" s="1"/>
      <c r="R295" s="1"/>
      <c r="S295" s="1"/>
      <c r="T295" s="1"/>
      <c r="U295" s="1"/>
      <c r="V295" s="1"/>
      <c r="W295" s="1"/>
      <c r="X295" s="1"/>
    </row>
    <row r="296" spans="1:24" ht="14.25" customHeight="1" x14ac:dyDescent="0.2">
      <c r="A296" s="79"/>
      <c r="B296" s="76"/>
      <c r="C296" s="76"/>
      <c r="D296" s="78"/>
      <c r="E296" s="77"/>
      <c r="F296" s="77"/>
      <c r="G296" s="77"/>
      <c r="H296" s="77"/>
      <c r="I296" s="77"/>
      <c r="J296" s="97"/>
      <c r="K296" s="1"/>
      <c r="L296" s="1"/>
      <c r="M296" s="1"/>
      <c r="N296" s="1"/>
      <c r="O296" s="1"/>
      <c r="P296" s="1"/>
      <c r="Q296" s="1"/>
      <c r="R296" s="1"/>
      <c r="S296" s="1"/>
      <c r="T296" s="1"/>
      <c r="U296" s="1"/>
      <c r="V296" s="1"/>
      <c r="W296" s="1"/>
      <c r="X296" s="1"/>
    </row>
    <row r="297" spans="1:24" ht="14.25" customHeight="1" x14ac:dyDescent="0.2">
      <c r="A297" s="79"/>
      <c r="B297" s="76"/>
      <c r="C297" s="76"/>
      <c r="D297" s="78"/>
      <c r="E297" s="77"/>
      <c r="F297" s="77"/>
      <c r="G297" s="77"/>
      <c r="H297" s="77"/>
      <c r="I297" s="77"/>
      <c r="J297" s="97"/>
      <c r="K297" s="1"/>
      <c r="L297" s="1"/>
      <c r="M297" s="1"/>
      <c r="N297" s="1"/>
      <c r="O297" s="1"/>
      <c r="P297" s="1"/>
      <c r="Q297" s="1"/>
      <c r="R297" s="1"/>
      <c r="S297" s="1"/>
      <c r="T297" s="1"/>
      <c r="U297" s="1"/>
      <c r="V297" s="1"/>
      <c r="W297" s="1"/>
      <c r="X297" s="1"/>
    </row>
    <row r="298" spans="1:24" ht="14.25" customHeight="1" x14ac:dyDescent="0.2">
      <c r="A298" s="79"/>
      <c r="B298" s="76"/>
      <c r="C298" s="76"/>
      <c r="D298" s="78"/>
      <c r="E298" s="77"/>
      <c r="F298" s="77"/>
      <c r="G298" s="77"/>
      <c r="H298" s="77"/>
      <c r="I298" s="77"/>
      <c r="J298" s="97"/>
      <c r="K298" s="1"/>
      <c r="L298" s="1"/>
      <c r="M298" s="1"/>
      <c r="N298" s="1"/>
      <c r="O298" s="1"/>
      <c r="P298" s="1"/>
      <c r="Q298" s="1"/>
      <c r="R298" s="1"/>
      <c r="S298" s="1"/>
      <c r="T298" s="1"/>
      <c r="U298" s="1"/>
      <c r="V298" s="1"/>
      <c r="W298" s="1"/>
      <c r="X298" s="1"/>
    </row>
    <row r="299" spans="1:24" ht="14.25" customHeight="1" x14ac:dyDescent="0.2">
      <c r="A299" s="79"/>
      <c r="B299" s="76"/>
      <c r="C299" s="76"/>
      <c r="D299" s="78"/>
      <c r="E299" s="77"/>
      <c r="F299" s="77"/>
      <c r="G299" s="77"/>
      <c r="H299" s="77"/>
      <c r="I299" s="77"/>
      <c r="J299" s="97"/>
      <c r="K299" s="1"/>
      <c r="L299" s="1"/>
      <c r="M299" s="1"/>
      <c r="N299" s="1"/>
      <c r="O299" s="1"/>
      <c r="P299" s="1"/>
      <c r="Q299" s="1"/>
      <c r="R299" s="1"/>
      <c r="S299" s="1"/>
      <c r="T299" s="1"/>
      <c r="U299" s="1"/>
      <c r="V299" s="1"/>
      <c r="W299" s="1"/>
      <c r="X299" s="1"/>
    </row>
    <row r="300" spans="1:24" ht="14.25" customHeight="1" x14ac:dyDescent="0.2">
      <c r="A300" s="79"/>
      <c r="B300" s="76"/>
      <c r="C300" s="76"/>
      <c r="D300" s="78"/>
      <c r="E300" s="77"/>
      <c r="F300" s="77"/>
      <c r="G300" s="77"/>
      <c r="H300" s="77"/>
      <c r="I300" s="77"/>
      <c r="J300" s="97"/>
      <c r="K300" s="1"/>
      <c r="L300" s="1"/>
      <c r="M300" s="1"/>
      <c r="N300" s="1"/>
      <c r="O300" s="1"/>
      <c r="P300" s="1"/>
      <c r="Q300" s="1"/>
      <c r="R300" s="1"/>
      <c r="S300" s="1"/>
      <c r="T300" s="1"/>
      <c r="U300" s="1"/>
      <c r="V300" s="1"/>
      <c r="W300" s="1"/>
      <c r="X300" s="1"/>
    </row>
    <row r="301" spans="1:24" ht="14.25" customHeight="1" x14ac:dyDescent="0.2">
      <c r="A301" s="79"/>
      <c r="B301" s="76"/>
      <c r="C301" s="76"/>
      <c r="D301" s="78"/>
      <c r="E301" s="77"/>
      <c r="F301" s="77"/>
      <c r="G301" s="77"/>
      <c r="H301" s="77"/>
      <c r="I301" s="77"/>
      <c r="J301" s="97"/>
      <c r="K301" s="1"/>
      <c r="L301" s="1"/>
      <c r="M301" s="1"/>
      <c r="N301" s="1"/>
      <c r="O301" s="1"/>
      <c r="P301" s="1"/>
      <c r="Q301" s="1"/>
      <c r="R301" s="1"/>
      <c r="S301" s="1"/>
      <c r="T301" s="1"/>
      <c r="U301" s="1"/>
      <c r="V301" s="1"/>
      <c r="W301" s="1"/>
      <c r="X301" s="1"/>
    </row>
    <row r="302" spans="1:24" ht="14.25" customHeight="1" x14ac:dyDescent="0.2">
      <c r="A302" s="79"/>
      <c r="B302" s="76"/>
      <c r="C302" s="76"/>
      <c r="D302" s="78"/>
      <c r="E302" s="77"/>
      <c r="F302" s="77"/>
      <c r="G302" s="77"/>
      <c r="H302" s="77"/>
      <c r="I302" s="77"/>
      <c r="J302" s="97"/>
      <c r="K302" s="1"/>
      <c r="L302" s="1"/>
      <c r="M302" s="1"/>
      <c r="N302" s="1"/>
      <c r="O302" s="1"/>
      <c r="P302" s="1"/>
      <c r="Q302" s="1"/>
      <c r="R302" s="1"/>
      <c r="S302" s="1"/>
      <c r="T302" s="1"/>
      <c r="U302" s="1"/>
      <c r="V302" s="1"/>
      <c r="W302" s="1"/>
      <c r="X302" s="1"/>
    </row>
    <row r="303" spans="1:24" ht="14.25" customHeight="1" x14ac:dyDescent="0.2">
      <c r="A303" s="79"/>
      <c r="B303" s="76"/>
      <c r="C303" s="76"/>
      <c r="D303" s="78"/>
      <c r="E303" s="77"/>
      <c r="F303" s="77"/>
      <c r="G303" s="77"/>
      <c r="H303" s="77"/>
      <c r="I303" s="77"/>
      <c r="J303" s="97"/>
      <c r="K303" s="1"/>
      <c r="L303" s="1"/>
      <c r="M303" s="1"/>
      <c r="N303" s="1"/>
      <c r="O303" s="1"/>
      <c r="P303" s="1"/>
      <c r="Q303" s="1"/>
      <c r="R303" s="1"/>
      <c r="S303" s="1"/>
      <c r="T303" s="1"/>
      <c r="U303" s="1"/>
      <c r="V303" s="1"/>
      <c r="W303" s="1"/>
      <c r="X303" s="1"/>
    </row>
    <row r="304" spans="1:24" ht="14.25" customHeight="1" x14ac:dyDescent="0.2">
      <c r="A304" s="79"/>
      <c r="B304" s="76"/>
      <c r="C304" s="76"/>
      <c r="D304" s="78"/>
      <c r="E304" s="77"/>
      <c r="F304" s="77"/>
      <c r="G304" s="77"/>
      <c r="H304" s="77"/>
      <c r="I304" s="77"/>
      <c r="J304" s="97"/>
      <c r="K304" s="1"/>
      <c r="L304" s="1"/>
      <c r="M304" s="1"/>
      <c r="N304" s="1"/>
      <c r="O304" s="1"/>
      <c r="P304" s="1"/>
      <c r="Q304" s="1"/>
      <c r="R304" s="1"/>
      <c r="S304" s="1"/>
      <c r="T304" s="1"/>
      <c r="U304" s="1"/>
      <c r="V304" s="1"/>
      <c r="W304" s="1"/>
      <c r="X304" s="1"/>
    </row>
    <row r="305" spans="1:24" ht="14.25" customHeight="1" x14ac:dyDescent="0.2">
      <c r="A305" s="79"/>
      <c r="B305" s="76"/>
      <c r="C305" s="76"/>
      <c r="D305" s="78"/>
      <c r="E305" s="77"/>
      <c r="F305" s="77"/>
      <c r="G305" s="77"/>
      <c r="H305" s="77"/>
      <c r="I305" s="77"/>
      <c r="J305" s="97"/>
      <c r="K305" s="1"/>
      <c r="L305" s="1"/>
      <c r="M305" s="1"/>
      <c r="N305" s="1"/>
      <c r="O305" s="1"/>
      <c r="P305" s="1"/>
      <c r="Q305" s="1"/>
      <c r="R305" s="1"/>
      <c r="S305" s="1"/>
      <c r="T305" s="1"/>
      <c r="U305" s="1"/>
      <c r="V305" s="1"/>
      <c r="W305" s="1"/>
      <c r="X305" s="1"/>
    </row>
    <row r="306" spans="1:24" ht="14.25" customHeight="1" x14ac:dyDescent="0.2">
      <c r="A306" s="79"/>
      <c r="B306" s="76"/>
      <c r="C306" s="76"/>
      <c r="D306" s="78"/>
      <c r="E306" s="77"/>
      <c r="F306" s="77"/>
      <c r="G306" s="77"/>
      <c r="H306" s="77"/>
      <c r="I306" s="77"/>
      <c r="J306" s="97"/>
      <c r="K306" s="1"/>
      <c r="L306" s="1"/>
      <c r="M306" s="1"/>
      <c r="N306" s="1"/>
      <c r="O306" s="1"/>
      <c r="P306" s="1"/>
      <c r="Q306" s="1"/>
      <c r="R306" s="1"/>
      <c r="S306" s="1"/>
      <c r="T306" s="1"/>
      <c r="U306" s="1"/>
      <c r="V306" s="1"/>
      <c r="W306" s="1"/>
      <c r="X306" s="1"/>
    </row>
    <row r="307" spans="1:24" ht="14.25" customHeight="1" x14ac:dyDescent="0.2">
      <c r="A307" s="79"/>
      <c r="B307" s="76"/>
      <c r="C307" s="76"/>
      <c r="D307" s="78"/>
      <c r="E307" s="77"/>
      <c r="F307" s="77"/>
      <c r="G307" s="77"/>
      <c r="H307" s="77"/>
      <c r="I307" s="77"/>
      <c r="J307" s="97"/>
      <c r="K307" s="1"/>
      <c r="L307" s="1"/>
      <c r="M307" s="1"/>
      <c r="N307" s="1"/>
      <c r="O307" s="1"/>
      <c r="P307" s="1"/>
      <c r="Q307" s="1"/>
      <c r="R307" s="1"/>
      <c r="S307" s="1"/>
      <c r="T307" s="1"/>
      <c r="U307" s="1"/>
      <c r="V307" s="1"/>
      <c r="W307" s="1"/>
      <c r="X307" s="1"/>
    </row>
    <row r="308" spans="1:24" ht="14.25" customHeight="1" x14ac:dyDescent="0.2">
      <c r="A308" s="79"/>
      <c r="B308" s="76"/>
      <c r="C308" s="76"/>
      <c r="D308" s="78"/>
      <c r="E308" s="77"/>
      <c r="F308" s="77"/>
      <c r="G308" s="77"/>
      <c r="H308" s="77"/>
      <c r="I308" s="77"/>
      <c r="J308" s="97"/>
      <c r="K308" s="1"/>
      <c r="L308" s="1"/>
      <c r="M308" s="1"/>
      <c r="N308" s="1"/>
      <c r="O308" s="1"/>
      <c r="P308" s="1"/>
      <c r="Q308" s="1"/>
      <c r="R308" s="1"/>
      <c r="S308" s="1"/>
      <c r="T308" s="1"/>
      <c r="U308" s="1"/>
      <c r="V308" s="1"/>
      <c r="W308" s="1"/>
      <c r="X308" s="1"/>
    </row>
    <row r="309" spans="1:24" ht="14.25" customHeight="1" x14ac:dyDescent="0.2">
      <c r="A309" s="79"/>
      <c r="B309" s="76"/>
      <c r="C309" s="76"/>
      <c r="D309" s="78"/>
      <c r="E309" s="77"/>
      <c r="F309" s="77"/>
      <c r="G309" s="77"/>
      <c r="H309" s="77"/>
      <c r="I309" s="77"/>
      <c r="J309" s="97"/>
      <c r="K309" s="1"/>
      <c r="L309" s="1"/>
      <c r="M309" s="1"/>
      <c r="N309" s="1"/>
      <c r="O309" s="1"/>
      <c r="P309" s="1"/>
      <c r="Q309" s="1"/>
      <c r="R309" s="1"/>
      <c r="S309" s="1"/>
      <c r="T309" s="1"/>
      <c r="U309" s="1"/>
      <c r="V309" s="1"/>
      <c r="W309" s="1"/>
      <c r="X309" s="1"/>
    </row>
    <row r="310" spans="1:24" ht="14.25" customHeight="1" x14ac:dyDescent="0.2">
      <c r="A310" s="79"/>
      <c r="B310" s="76"/>
      <c r="C310" s="76"/>
      <c r="D310" s="78"/>
      <c r="E310" s="77"/>
      <c r="F310" s="77"/>
      <c r="G310" s="77"/>
      <c r="H310" s="77"/>
      <c r="I310" s="77"/>
      <c r="J310" s="97"/>
      <c r="K310" s="1"/>
      <c r="L310" s="1"/>
      <c r="M310" s="1"/>
      <c r="N310" s="1"/>
      <c r="O310" s="1"/>
      <c r="P310" s="1"/>
      <c r="Q310" s="1"/>
      <c r="R310" s="1"/>
      <c r="S310" s="1"/>
      <c r="T310" s="1"/>
      <c r="U310" s="1"/>
      <c r="V310" s="1"/>
      <c r="W310" s="1"/>
      <c r="X310" s="1"/>
    </row>
    <row r="311" spans="1:24" ht="14.25" customHeight="1" x14ac:dyDescent="0.2">
      <c r="A311" s="79"/>
      <c r="B311" s="76"/>
      <c r="C311" s="76"/>
      <c r="D311" s="78"/>
      <c r="E311" s="77"/>
      <c r="F311" s="77"/>
      <c r="G311" s="77"/>
      <c r="H311" s="77"/>
      <c r="I311" s="77"/>
      <c r="J311" s="97"/>
      <c r="K311" s="1"/>
      <c r="L311" s="1"/>
      <c r="M311" s="1"/>
      <c r="N311" s="1"/>
      <c r="O311" s="1"/>
      <c r="P311" s="1"/>
      <c r="Q311" s="1"/>
      <c r="R311" s="1"/>
      <c r="S311" s="1"/>
      <c r="T311" s="1"/>
      <c r="U311" s="1"/>
      <c r="V311" s="1"/>
      <c r="W311" s="1"/>
      <c r="X311" s="1"/>
    </row>
    <row r="312" spans="1:24" ht="14.25" customHeight="1" x14ac:dyDescent="0.2">
      <c r="A312" s="79"/>
      <c r="B312" s="76"/>
      <c r="C312" s="76"/>
      <c r="D312" s="78"/>
      <c r="E312" s="77"/>
      <c r="F312" s="77"/>
      <c r="G312" s="77"/>
      <c r="H312" s="77"/>
      <c r="I312" s="77"/>
      <c r="J312" s="97"/>
      <c r="K312" s="1"/>
      <c r="L312" s="1"/>
      <c r="M312" s="1"/>
      <c r="N312" s="1"/>
      <c r="O312" s="1"/>
      <c r="P312" s="1"/>
      <c r="Q312" s="1"/>
      <c r="R312" s="1"/>
      <c r="S312" s="1"/>
      <c r="T312" s="1"/>
      <c r="U312" s="1"/>
      <c r="V312" s="1"/>
      <c r="W312" s="1"/>
      <c r="X312" s="1"/>
    </row>
    <row r="313" spans="1:24" ht="14.25" customHeight="1" x14ac:dyDescent="0.2">
      <c r="A313" s="79"/>
      <c r="B313" s="76"/>
      <c r="C313" s="76"/>
      <c r="D313" s="78"/>
      <c r="E313" s="77"/>
      <c r="F313" s="77"/>
      <c r="G313" s="77"/>
      <c r="H313" s="77"/>
      <c r="I313" s="77"/>
      <c r="J313" s="97"/>
      <c r="K313" s="1"/>
      <c r="L313" s="1"/>
      <c r="M313" s="1"/>
      <c r="N313" s="1"/>
      <c r="O313" s="1"/>
      <c r="P313" s="1"/>
      <c r="Q313" s="1"/>
      <c r="R313" s="1"/>
      <c r="S313" s="1"/>
      <c r="T313" s="1"/>
      <c r="U313" s="1"/>
      <c r="V313" s="1"/>
      <c r="W313" s="1"/>
      <c r="X313" s="1"/>
    </row>
    <row r="314" spans="1:24" ht="14.25" customHeight="1" x14ac:dyDescent="0.2">
      <c r="A314" s="79"/>
      <c r="B314" s="76"/>
      <c r="C314" s="76"/>
      <c r="D314" s="78"/>
      <c r="E314" s="77"/>
      <c r="F314" s="77"/>
      <c r="G314" s="77"/>
      <c r="H314" s="77"/>
      <c r="I314" s="77"/>
      <c r="J314" s="97"/>
      <c r="K314" s="1"/>
      <c r="L314" s="1"/>
      <c r="M314" s="1"/>
      <c r="N314" s="1"/>
      <c r="O314" s="1"/>
      <c r="P314" s="1"/>
      <c r="Q314" s="1"/>
      <c r="R314" s="1"/>
      <c r="S314" s="1"/>
      <c r="T314" s="1"/>
      <c r="U314" s="1"/>
      <c r="V314" s="1"/>
      <c r="W314" s="1"/>
      <c r="X314" s="1"/>
    </row>
    <row r="315" spans="1:24" ht="14.25" customHeight="1" x14ac:dyDescent="0.2">
      <c r="A315" s="79"/>
      <c r="B315" s="76"/>
      <c r="C315" s="76"/>
      <c r="D315" s="78"/>
      <c r="E315" s="77"/>
      <c r="F315" s="77"/>
      <c r="G315" s="77"/>
      <c r="H315" s="77"/>
      <c r="I315" s="77"/>
      <c r="J315" s="97"/>
      <c r="K315" s="1"/>
      <c r="L315" s="1"/>
      <c r="M315" s="1"/>
      <c r="N315" s="1"/>
      <c r="O315" s="1"/>
      <c r="P315" s="1"/>
      <c r="Q315" s="1"/>
      <c r="R315" s="1"/>
      <c r="S315" s="1"/>
      <c r="T315" s="1"/>
      <c r="U315" s="1"/>
      <c r="V315" s="1"/>
      <c r="W315" s="1"/>
      <c r="X315" s="1"/>
    </row>
    <row r="316" spans="1:24" ht="14.25" customHeight="1" x14ac:dyDescent="0.2">
      <c r="A316" s="79"/>
      <c r="B316" s="76"/>
      <c r="C316" s="76"/>
      <c r="D316" s="78"/>
      <c r="E316" s="77"/>
      <c r="F316" s="77"/>
      <c r="G316" s="77"/>
      <c r="H316" s="77"/>
      <c r="I316" s="77"/>
      <c r="J316" s="97"/>
      <c r="K316" s="1"/>
      <c r="L316" s="1"/>
      <c r="M316" s="1"/>
      <c r="N316" s="1"/>
      <c r="O316" s="1"/>
      <c r="P316" s="1"/>
      <c r="Q316" s="1"/>
      <c r="R316" s="1"/>
      <c r="S316" s="1"/>
      <c r="T316" s="1"/>
      <c r="U316" s="1"/>
      <c r="V316" s="1"/>
      <c r="W316" s="1"/>
      <c r="X316" s="1"/>
    </row>
    <row r="317" spans="1:24" ht="14.25" customHeight="1" x14ac:dyDescent="0.2">
      <c r="A317" s="79"/>
      <c r="B317" s="76"/>
      <c r="C317" s="76"/>
      <c r="D317" s="78"/>
      <c r="E317" s="77"/>
      <c r="F317" s="77"/>
      <c r="G317" s="77"/>
      <c r="H317" s="77"/>
      <c r="I317" s="77"/>
      <c r="J317" s="97"/>
      <c r="K317" s="1"/>
      <c r="L317" s="1"/>
      <c r="M317" s="1"/>
      <c r="N317" s="1"/>
      <c r="O317" s="1"/>
      <c r="P317" s="1"/>
      <c r="Q317" s="1"/>
      <c r="R317" s="1"/>
      <c r="S317" s="1"/>
      <c r="T317" s="1"/>
      <c r="U317" s="1"/>
      <c r="V317" s="1"/>
      <c r="W317" s="1"/>
      <c r="X317" s="1"/>
    </row>
    <row r="318" spans="1:24" ht="14.25" customHeight="1" x14ac:dyDescent="0.2">
      <c r="A318" s="79"/>
      <c r="B318" s="76"/>
      <c r="C318" s="76"/>
      <c r="D318" s="78"/>
      <c r="E318" s="77"/>
      <c r="F318" s="77"/>
      <c r="G318" s="77"/>
      <c r="H318" s="77"/>
      <c r="I318" s="77"/>
      <c r="J318" s="97"/>
      <c r="K318" s="1"/>
      <c r="L318" s="1"/>
      <c r="M318" s="1"/>
      <c r="N318" s="1"/>
      <c r="O318" s="1"/>
      <c r="P318" s="1"/>
      <c r="Q318" s="1"/>
      <c r="R318" s="1"/>
      <c r="S318" s="1"/>
      <c r="T318" s="1"/>
      <c r="U318" s="1"/>
      <c r="V318" s="1"/>
      <c r="W318" s="1"/>
      <c r="X318" s="1"/>
    </row>
    <row r="319" spans="1:24" ht="14.25" customHeight="1" x14ac:dyDescent="0.2">
      <c r="A319" s="79"/>
      <c r="B319" s="76"/>
      <c r="C319" s="76"/>
      <c r="D319" s="78"/>
      <c r="E319" s="77"/>
      <c r="F319" s="77"/>
      <c r="G319" s="77"/>
      <c r="H319" s="77"/>
      <c r="I319" s="77"/>
      <c r="J319" s="97"/>
      <c r="K319" s="1"/>
      <c r="L319" s="1"/>
      <c r="M319" s="1"/>
      <c r="N319" s="1"/>
      <c r="O319" s="1"/>
      <c r="P319" s="1"/>
      <c r="Q319" s="1"/>
      <c r="R319" s="1"/>
      <c r="S319" s="1"/>
      <c r="T319" s="1"/>
      <c r="U319" s="1"/>
      <c r="V319" s="1"/>
      <c r="W319" s="1"/>
      <c r="X319" s="1"/>
    </row>
    <row r="320" spans="1:24" ht="14.25" customHeight="1" x14ac:dyDescent="0.2">
      <c r="A320" s="79"/>
      <c r="B320" s="76"/>
      <c r="C320" s="76"/>
      <c r="D320" s="78"/>
      <c r="E320" s="77"/>
      <c r="F320" s="77"/>
      <c r="G320" s="77"/>
      <c r="H320" s="77"/>
      <c r="I320" s="77"/>
      <c r="J320" s="97"/>
      <c r="K320" s="1"/>
      <c r="L320" s="1"/>
      <c r="M320" s="1"/>
      <c r="N320" s="1"/>
      <c r="O320" s="1"/>
      <c r="P320" s="1"/>
      <c r="Q320" s="1"/>
      <c r="R320" s="1"/>
      <c r="S320" s="1"/>
      <c r="T320" s="1"/>
      <c r="U320" s="1"/>
      <c r="V320" s="1"/>
      <c r="W320" s="1"/>
      <c r="X320" s="1"/>
    </row>
    <row r="321" spans="1:24" ht="14.25" customHeight="1" x14ac:dyDescent="0.2">
      <c r="A321" s="79"/>
      <c r="B321" s="76"/>
      <c r="C321" s="76"/>
      <c r="D321" s="78"/>
      <c r="E321" s="77"/>
      <c r="F321" s="77"/>
      <c r="G321" s="77"/>
      <c r="H321" s="77"/>
      <c r="I321" s="77"/>
      <c r="J321" s="97"/>
      <c r="K321" s="1"/>
      <c r="L321" s="1"/>
      <c r="M321" s="1"/>
      <c r="N321" s="1"/>
      <c r="O321" s="1"/>
      <c r="P321" s="1"/>
      <c r="Q321" s="1"/>
      <c r="R321" s="1"/>
      <c r="S321" s="1"/>
      <c r="T321" s="1"/>
      <c r="U321" s="1"/>
      <c r="V321" s="1"/>
      <c r="W321" s="1"/>
      <c r="X321" s="1"/>
    </row>
    <row r="322" spans="1:24" ht="14.25" customHeight="1" x14ac:dyDescent="0.2">
      <c r="A322" s="79"/>
      <c r="B322" s="76"/>
      <c r="C322" s="76"/>
      <c r="D322" s="78"/>
      <c r="E322" s="77"/>
      <c r="F322" s="77"/>
      <c r="G322" s="77"/>
      <c r="H322" s="77"/>
      <c r="I322" s="77"/>
      <c r="J322" s="97"/>
      <c r="K322" s="1"/>
      <c r="L322" s="1"/>
      <c r="M322" s="1"/>
      <c r="N322" s="1"/>
      <c r="O322" s="1"/>
      <c r="P322" s="1"/>
      <c r="Q322" s="1"/>
      <c r="R322" s="1"/>
      <c r="S322" s="1"/>
      <c r="T322" s="1"/>
      <c r="U322" s="1"/>
      <c r="V322" s="1"/>
      <c r="W322" s="1"/>
      <c r="X322" s="1"/>
    </row>
    <row r="323" spans="1:24" ht="14.25" customHeight="1" x14ac:dyDescent="0.2">
      <c r="A323" s="79"/>
      <c r="B323" s="76"/>
      <c r="C323" s="76"/>
      <c r="D323" s="78"/>
      <c r="E323" s="77"/>
      <c r="F323" s="77"/>
      <c r="G323" s="77"/>
      <c r="H323" s="77"/>
      <c r="I323" s="77"/>
      <c r="J323" s="97"/>
      <c r="K323" s="1"/>
      <c r="L323" s="1"/>
      <c r="M323" s="1"/>
      <c r="N323" s="1"/>
      <c r="O323" s="1"/>
      <c r="P323" s="1"/>
      <c r="Q323" s="1"/>
      <c r="R323" s="1"/>
      <c r="S323" s="1"/>
      <c r="T323" s="1"/>
      <c r="U323" s="1"/>
      <c r="V323" s="1"/>
      <c r="W323" s="1"/>
      <c r="X323" s="1"/>
    </row>
    <row r="324" spans="1:24" ht="14.25" customHeight="1" x14ac:dyDescent="0.2">
      <c r="A324" s="79"/>
      <c r="B324" s="76"/>
      <c r="C324" s="76"/>
      <c r="D324" s="78"/>
      <c r="E324" s="77"/>
      <c r="F324" s="77"/>
      <c r="G324" s="77"/>
      <c r="H324" s="77"/>
      <c r="I324" s="77"/>
      <c r="J324" s="97"/>
      <c r="K324" s="1"/>
      <c r="L324" s="1"/>
      <c r="M324" s="1"/>
      <c r="N324" s="1"/>
      <c r="O324" s="1"/>
      <c r="P324" s="1"/>
      <c r="Q324" s="1"/>
      <c r="R324" s="1"/>
      <c r="S324" s="1"/>
      <c r="T324" s="1"/>
      <c r="U324" s="1"/>
      <c r="V324" s="1"/>
      <c r="W324" s="1"/>
      <c r="X324" s="1"/>
    </row>
    <row r="325" spans="1:24" ht="14.25" customHeight="1" x14ac:dyDescent="0.2">
      <c r="A325" s="79"/>
      <c r="B325" s="76"/>
      <c r="C325" s="76"/>
      <c r="D325" s="78"/>
      <c r="E325" s="77"/>
      <c r="F325" s="77"/>
      <c r="G325" s="77"/>
      <c r="H325" s="77"/>
      <c r="I325" s="77"/>
      <c r="J325" s="97"/>
      <c r="K325" s="1"/>
      <c r="L325" s="1"/>
      <c r="M325" s="1"/>
      <c r="N325" s="1"/>
      <c r="O325" s="1"/>
      <c r="P325" s="1"/>
      <c r="Q325" s="1"/>
      <c r="R325" s="1"/>
      <c r="S325" s="1"/>
      <c r="T325" s="1"/>
      <c r="U325" s="1"/>
      <c r="V325" s="1"/>
      <c r="W325" s="1"/>
      <c r="X325" s="1"/>
    </row>
    <row r="326" spans="1:24" ht="14.25" customHeight="1" x14ac:dyDescent="0.2">
      <c r="A326" s="79"/>
      <c r="B326" s="76"/>
      <c r="C326" s="76"/>
      <c r="D326" s="78"/>
      <c r="E326" s="77"/>
      <c r="F326" s="77"/>
      <c r="G326" s="77"/>
      <c r="H326" s="77"/>
      <c r="I326" s="77"/>
      <c r="J326" s="97"/>
      <c r="K326" s="1"/>
      <c r="L326" s="1"/>
      <c r="M326" s="1"/>
      <c r="N326" s="1"/>
      <c r="O326" s="1"/>
      <c r="P326" s="1"/>
      <c r="Q326" s="1"/>
      <c r="R326" s="1"/>
      <c r="S326" s="1"/>
      <c r="T326" s="1"/>
      <c r="U326" s="1"/>
      <c r="V326" s="1"/>
      <c r="W326" s="1"/>
      <c r="X326" s="1"/>
    </row>
    <row r="327" spans="1:24" ht="14.25" customHeight="1" x14ac:dyDescent="0.2">
      <c r="A327" s="79"/>
      <c r="B327" s="76"/>
      <c r="C327" s="76"/>
      <c r="D327" s="78"/>
      <c r="E327" s="77"/>
      <c r="F327" s="77"/>
      <c r="G327" s="77"/>
      <c r="H327" s="77"/>
      <c r="I327" s="77"/>
      <c r="J327" s="97"/>
      <c r="K327" s="1"/>
      <c r="L327" s="1"/>
      <c r="M327" s="1"/>
      <c r="N327" s="1"/>
      <c r="O327" s="1"/>
      <c r="P327" s="1"/>
      <c r="Q327" s="1"/>
      <c r="R327" s="1"/>
      <c r="S327" s="1"/>
      <c r="T327" s="1"/>
      <c r="U327" s="1"/>
      <c r="V327" s="1"/>
      <c r="W327" s="1"/>
      <c r="X327" s="1"/>
    </row>
    <row r="328" spans="1:24" ht="14.25" customHeight="1" x14ac:dyDescent="0.2">
      <c r="A328" s="79"/>
      <c r="B328" s="76"/>
      <c r="C328" s="76"/>
      <c r="D328" s="78"/>
      <c r="E328" s="77"/>
      <c r="F328" s="77"/>
      <c r="G328" s="77"/>
      <c r="H328" s="77"/>
      <c r="I328" s="77"/>
      <c r="J328" s="97"/>
      <c r="K328" s="1"/>
      <c r="L328" s="1"/>
      <c r="M328" s="1"/>
      <c r="N328" s="1"/>
      <c r="O328" s="1"/>
      <c r="P328" s="1"/>
      <c r="Q328" s="1"/>
      <c r="R328" s="1"/>
      <c r="S328" s="1"/>
      <c r="T328" s="1"/>
      <c r="U328" s="1"/>
      <c r="V328" s="1"/>
      <c r="W328" s="1"/>
      <c r="X328" s="1"/>
    </row>
    <row r="329" spans="1:24" ht="14.25" customHeight="1" x14ac:dyDescent="0.2">
      <c r="A329" s="79"/>
      <c r="B329" s="76"/>
      <c r="C329" s="76"/>
      <c r="D329" s="78"/>
      <c r="E329" s="77"/>
      <c r="F329" s="77"/>
      <c r="G329" s="77"/>
      <c r="H329" s="77"/>
      <c r="I329" s="77"/>
      <c r="J329" s="97"/>
      <c r="K329" s="1"/>
      <c r="L329" s="1"/>
      <c r="M329" s="1"/>
      <c r="N329" s="1"/>
      <c r="O329" s="1"/>
      <c r="P329" s="1"/>
      <c r="Q329" s="1"/>
      <c r="R329" s="1"/>
      <c r="S329" s="1"/>
      <c r="T329" s="1"/>
      <c r="U329" s="1"/>
      <c r="V329" s="1"/>
      <c r="W329" s="1"/>
      <c r="X329" s="1"/>
    </row>
    <row r="330" spans="1:24" ht="14.25" customHeight="1" x14ac:dyDescent="0.2">
      <c r="A330" s="79"/>
      <c r="B330" s="76"/>
      <c r="C330" s="76"/>
      <c r="D330" s="78"/>
      <c r="E330" s="77"/>
      <c r="F330" s="77"/>
      <c r="G330" s="77"/>
      <c r="H330" s="77"/>
      <c r="I330" s="77"/>
      <c r="J330" s="97"/>
      <c r="K330" s="1"/>
      <c r="L330" s="1"/>
      <c r="M330" s="1"/>
      <c r="N330" s="1"/>
      <c r="O330" s="1"/>
      <c r="P330" s="1"/>
      <c r="Q330" s="1"/>
      <c r="R330" s="1"/>
      <c r="S330" s="1"/>
      <c r="T330" s="1"/>
      <c r="U330" s="1"/>
      <c r="V330" s="1"/>
      <c r="W330" s="1"/>
      <c r="X330" s="1"/>
    </row>
    <row r="331" spans="1:24" ht="14.25" customHeight="1" x14ac:dyDescent="0.2">
      <c r="A331" s="79"/>
      <c r="B331" s="76"/>
      <c r="C331" s="76"/>
      <c r="D331" s="78"/>
      <c r="E331" s="77"/>
      <c r="F331" s="77"/>
      <c r="G331" s="77"/>
      <c r="H331" s="77"/>
      <c r="I331" s="77"/>
      <c r="J331" s="97"/>
      <c r="K331" s="1"/>
      <c r="L331" s="1"/>
      <c r="M331" s="1"/>
      <c r="N331" s="1"/>
      <c r="O331" s="1"/>
      <c r="P331" s="1"/>
      <c r="Q331" s="1"/>
      <c r="R331" s="1"/>
      <c r="S331" s="1"/>
      <c r="T331" s="1"/>
      <c r="U331" s="1"/>
      <c r="V331" s="1"/>
      <c r="W331" s="1"/>
      <c r="X331" s="1"/>
    </row>
    <row r="332" spans="1:24" ht="14.25" customHeight="1" x14ac:dyDescent="0.2">
      <c r="A332" s="79"/>
      <c r="B332" s="76"/>
      <c r="C332" s="76"/>
      <c r="D332" s="78"/>
      <c r="E332" s="77"/>
      <c r="F332" s="77"/>
      <c r="G332" s="77"/>
      <c r="H332" s="77"/>
      <c r="I332" s="77"/>
      <c r="J332" s="97"/>
      <c r="K332" s="1"/>
      <c r="L332" s="1"/>
      <c r="M332" s="1"/>
      <c r="N332" s="1"/>
      <c r="O332" s="1"/>
      <c r="P332" s="1"/>
      <c r="Q332" s="1"/>
      <c r="R332" s="1"/>
      <c r="S332" s="1"/>
      <c r="T332" s="1"/>
      <c r="U332" s="1"/>
      <c r="V332" s="1"/>
      <c r="W332" s="1"/>
      <c r="X332" s="1"/>
    </row>
    <row r="333" spans="1:24" ht="14.25" customHeight="1" x14ac:dyDescent="0.2">
      <c r="A333" s="79"/>
      <c r="B333" s="76"/>
      <c r="C333" s="76"/>
      <c r="D333" s="78"/>
      <c r="E333" s="77"/>
      <c r="F333" s="77"/>
      <c r="G333" s="77"/>
      <c r="H333" s="77"/>
      <c r="I333" s="77"/>
      <c r="J333" s="97"/>
      <c r="K333" s="1"/>
      <c r="L333" s="1"/>
      <c r="M333" s="1"/>
      <c r="N333" s="1"/>
      <c r="O333" s="1"/>
      <c r="P333" s="1"/>
      <c r="Q333" s="1"/>
      <c r="R333" s="1"/>
      <c r="S333" s="1"/>
      <c r="T333" s="1"/>
      <c r="U333" s="1"/>
      <c r="V333" s="1"/>
      <c r="W333" s="1"/>
      <c r="X333" s="1"/>
    </row>
    <row r="334" spans="1:24" ht="14.25" customHeight="1" x14ac:dyDescent="0.2">
      <c r="A334" s="79"/>
      <c r="B334" s="76"/>
      <c r="C334" s="76"/>
      <c r="D334" s="78"/>
      <c r="E334" s="77"/>
      <c r="F334" s="77"/>
      <c r="G334" s="77"/>
      <c r="H334" s="77"/>
      <c r="I334" s="77"/>
      <c r="J334" s="97"/>
      <c r="K334" s="1"/>
      <c r="L334" s="1"/>
      <c r="M334" s="1"/>
      <c r="N334" s="1"/>
      <c r="O334" s="1"/>
      <c r="P334" s="1"/>
      <c r="Q334" s="1"/>
      <c r="R334" s="1"/>
      <c r="S334" s="1"/>
      <c r="T334" s="1"/>
      <c r="U334" s="1"/>
      <c r="V334" s="1"/>
      <c r="W334" s="1"/>
      <c r="X334" s="1"/>
    </row>
    <row r="335" spans="1:24" ht="14.25" customHeight="1" x14ac:dyDescent="0.2">
      <c r="A335" s="79"/>
      <c r="B335" s="76"/>
      <c r="C335" s="76"/>
      <c r="D335" s="78"/>
      <c r="E335" s="77"/>
      <c r="F335" s="77"/>
      <c r="G335" s="77"/>
      <c r="H335" s="77"/>
      <c r="I335" s="77"/>
      <c r="J335" s="97"/>
      <c r="K335" s="1"/>
      <c r="L335" s="1"/>
      <c r="M335" s="1"/>
      <c r="N335" s="1"/>
      <c r="O335" s="1"/>
      <c r="P335" s="1"/>
      <c r="Q335" s="1"/>
      <c r="R335" s="1"/>
      <c r="S335" s="1"/>
      <c r="T335" s="1"/>
      <c r="U335" s="1"/>
      <c r="V335" s="1"/>
      <c r="W335" s="1"/>
      <c r="X335" s="1"/>
    </row>
    <row r="336" spans="1:24" ht="14.25" customHeight="1" x14ac:dyDescent="0.2">
      <c r="A336" s="79"/>
      <c r="B336" s="76"/>
      <c r="C336" s="76"/>
      <c r="D336" s="78"/>
      <c r="E336" s="77"/>
      <c r="F336" s="77"/>
      <c r="G336" s="77"/>
      <c r="H336" s="77"/>
      <c r="I336" s="77"/>
      <c r="J336" s="97"/>
      <c r="K336" s="1"/>
      <c r="L336" s="1"/>
      <c r="M336" s="1"/>
      <c r="N336" s="1"/>
      <c r="O336" s="1"/>
      <c r="P336" s="1"/>
      <c r="Q336" s="1"/>
      <c r="R336" s="1"/>
      <c r="S336" s="1"/>
      <c r="T336" s="1"/>
      <c r="U336" s="1"/>
      <c r="V336" s="1"/>
      <c r="W336" s="1"/>
      <c r="X336" s="1"/>
    </row>
    <row r="337" spans="1:24" ht="14.25" customHeight="1" x14ac:dyDescent="0.2">
      <c r="A337" s="79"/>
      <c r="B337" s="76"/>
      <c r="C337" s="76"/>
      <c r="D337" s="78"/>
      <c r="E337" s="77"/>
      <c r="F337" s="77"/>
      <c r="G337" s="77"/>
      <c r="H337" s="77"/>
      <c r="I337" s="77"/>
      <c r="J337" s="97"/>
      <c r="K337" s="1"/>
      <c r="L337" s="1"/>
      <c r="M337" s="1"/>
      <c r="N337" s="1"/>
      <c r="O337" s="1"/>
      <c r="P337" s="1"/>
      <c r="Q337" s="1"/>
      <c r="R337" s="1"/>
      <c r="S337" s="1"/>
      <c r="T337" s="1"/>
      <c r="U337" s="1"/>
      <c r="V337" s="1"/>
      <c r="W337" s="1"/>
      <c r="X337" s="1"/>
    </row>
    <row r="338" spans="1:24" ht="14.25" customHeight="1" x14ac:dyDescent="0.2">
      <c r="A338" s="79"/>
      <c r="B338" s="76"/>
      <c r="C338" s="76"/>
      <c r="D338" s="78"/>
      <c r="E338" s="77"/>
      <c r="F338" s="77"/>
      <c r="G338" s="77"/>
      <c r="H338" s="77"/>
      <c r="I338" s="77"/>
      <c r="J338" s="97"/>
      <c r="K338" s="1"/>
      <c r="L338" s="1"/>
      <c r="M338" s="1"/>
      <c r="N338" s="1"/>
      <c r="O338" s="1"/>
      <c r="P338" s="1"/>
      <c r="Q338" s="1"/>
      <c r="R338" s="1"/>
      <c r="S338" s="1"/>
      <c r="T338" s="1"/>
      <c r="U338" s="1"/>
      <c r="V338" s="1"/>
      <c r="W338" s="1"/>
      <c r="X338" s="1"/>
    </row>
    <row r="339" spans="1:24" ht="14.25" customHeight="1" x14ac:dyDescent="0.2">
      <c r="A339" s="79"/>
      <c r="B339" s="76"/>
      <c r="C339" s="76"/>
      <c r="D339" s="78"/>
      <c r="E339" s="77"/>
      <c r="F339" s="77"/>
      <c r="G339" s="77"/>
      <c r="H339" s="77"/>
      <c r="I339" s="77"/>
      <c r="J339" s="97"/>
      <c r="K339" s="1"/>
      <c r="L339" s="1"/>
      <c r="M339" s="1"/>
      <c r="N339" s="1"/>
      <c r="O339" s="1"/>
      <c r="P339" s="1"/>
      <c r="Q339" s="1"/>
      <c r="R339" s="1"/>
      <c r="S339" s="1"/>
      <c r="T339" s="1"/>
      <c r="U339" s="1"/>
      <c r="V339" s="1"/>
      <c r="W339" s="1"/>
      <c r="X339" s="1"/>
    </row>
    <row r="340" spans="1:24" ht="14.25" customHeight="1" x14ac:dyDescent="0.2">
      <c r="A340" s="79"/>
      <c r="B340" s="76"/>
      <c r="C340" s="76"/>
      <c r="D340" s="78"/>
      <c r="E340" s="77"/>
      <c r="F340" s="77"/>
      <c r="G340" s="77"/>
      <c r="H340" s="77"/>
      <c r="I340" s="77"/>
      <c r="J340" s="97"/>
      <c r="K340" s="1"/>
      <c r="L340" s="1"/>
      <c r="M340" s="1"/>
      <c r="N340" s="1"/>
      <c r="O340" s="1"/>
      <c r="P340" s="1"/>
      <c r="Q340" s="1"/>
      <c r="R340" s="1"/>
      <c r="S340" s="1"/>
      <c r="T340" s="1"/>
      <c r="U340" s="1"/>
      <c r="V340" s="1"/>
      <c r="W340" s="1"/>
      <c r="X340" s="1"/>
    </row>
    <row r="341" spans="1:24" ht="14.25" customHeight="1" x14ac:dyDescent="0.2">
      <c r="A341" s="79"/>
      <c r="B341" s="76"/>
      <c r="C341" s="76"/>
      <c r="D341" s="78"/>
      <c r="E341" s="77"/>
      <c r="F341" s="77"/>
      <c r="G341" s="77"/>
      <c r="H341" s="77"/>
      <c r="I341" s="77"/>
      <c r="J341" s="97"/>
      <c r="K341" s="1"/>
      <c r="L341" s="1"/>
      <c r="M341" s="1"/>
      <c r="N341" s="1"/>
      <c r="O341" s="1"/>
      <c r="P341" s="1"/>
      <c r="Q341" s="1"/>
      <c r="R341" s="1"/>
      <c r="S341" s="1"/>
      <c r="T341" s="1"/>
      <c r="U341" s="1"/>
      <c r="V341" s="1"/>
      <c r="W341" s="1"/>
      <c r="X341" s="1"/>
    </row>
    <row r="342" spans="1:24" ht="14.25" customHeight="1" x14ac:dyDescent="0.2">
      <c r="A342" s="79"/>
      <c r="B342" s="76"/>
      <c r="C342" s="76"/>
      <c r="D342" s="78"/>
      <c r="E342" s="77"/>
      <c r="F342" s="77"/>
      <c r="G342" s="77"/>
      <c r="H342" s="77"/>
      <c r="I342" s="77"/>
      <c r="J342" s="97"/>
      <c r="K342" s="1"/>
      <c r="L342" s="1"/>
      <c r="M342" s="1"/>
      <c r="N342" s="1"/>
      <c r="O342" s="1"/>
      <c r="P342" s="1"/>
      <c r="Q342" s="1"/>
      <c r="R342" s="1"/>
      <c r="S342" s="1"/>
      <c r="T342" s="1"/>
      <c r="U342" s="1"/>
      <c r="V342" s="1"/>
      <c r="W342" s="1"/>
      <c r="X342" s="1"/>
    </row>
    <row r="343" spans="1:24" ht="14.25" customHeight="1" x14ac:dyDescent="0.2">
      <c r="A343" s="79"/>
      <c r="B343" s="76"/>
      <c r="C343" s="76"/>
      <c r="D343" s="78"/>
      <c r="E343" s="77"/>
      <c r="F343" s="77"/>
      <c r="G343" s="77"/>
      <c r="H343" s="77"/>
      <c r="I343" s="77"/>
      <c r="J343" s="97"/>
      <c r="K343" s="1"/>
      <c r="L343" s="1"/>
      <c r="M343" s="1"/>
      <c r="N343" s="1"/>
      <c r="O343" s="1"/>
      <c r="P343" s="1"/>
      <c r="Q343" s="1"/>
      <c r="R343" s="1"/>
      <c r="S343" s="1"/>
      <c r="T343" s="1"/>
      <c r="U343" s="1"/>
      <c r="V343" s="1"/>
      <c r="W343" s="1"/>
      <c r="X343" s="1"/>
    </row>
    <row r="344" spans="1:24" ht="14.25" customHeight="1" x14ac:dyDescent="0.2">
      <c r="A344" s="79"/>
      <c r="B344" s="76"/>
      <c r="C344" s="76"/>
      <c r="D344" s="78"/>
      <c r="E344" s="77"/>
      <c r="F344" s="77"/>
      <c r="G344" s="77"/>
      <c r="H344" s="77"/>
      <c r="I344" s="77"/>
      <c r="J344" s="97"/>
      <c r="K344" s="1"/>
      <c r="L344" s="1"/>
      <c r="M344" s="1"/>
      <c r="N344" s="1"/>
      <c r="O344" s="1"/>
      <c r="P344" s="1"/>
      <c r="Q344" s="1"/>
      <c r="R344" s="1"/>
      <c r="S344" s="1"/>
      <c r="T344" s="1"/>
      <c r="U344" s="1"/>
      <c r="V344" s="1"/>
      <c r="W344" s="1"/>
      <c r="X344" s="1"/>
    </row>
    <row r="345" spans="1:24" ht="14.25" customHeight="1" x14ac:dyDescent="0.2">
      <c r="A345" s="79"/>
      <c r="B345" s="76"/>
      <c r="C345" s="76"/>
      <c r="D345" s="78"/>
      <c r="E345" s="77"/>
      <c r="F345" s="77"/>
      <c r="G345" s="77"/>
      <c r="H345" s="77"/>
      <c r="I345" s="77"/>
      <c r="J345" s="97"/>
      <c r="K345" s="1"/>
      <c r="L345" s="1"/>
      <c r="M345" s="1"/>
      <c r="N345" s="1"/>
      <c r="O345" s="1"/>
      <c r="P345" s="1"/>
      <c r="Q345" s="1"/>
      <c r="R345" s="1"/>
      <c r="S345" s="1"/>
      <c r="T345" s="1"/>
      <c r="U345" s="1"/>
      <c r="V345" s="1"/>
      <c r="W345" s="1"/>
      <c r="X345" s="1"/>
    </row>
    <row r="346" spans="1:24" ht="14.25" customHeight="1" x14ac:dyDescent="0.2">
      <c r="A346" s="79"/>
      <c r="B346" s="76"/>
      <c r="C346" s="76"/>
      <c r="D346" s="78"/>
      <c r="E346" s="77"/>
      <c r="F346" s="77"/>
      <c r="G346" s="77"/>
      <c r="H346" s="77"/>
      <c r="I346" s="77"/>
      <c r="J346" s="97"/>
      <c r="K346" s="1"/>
      <c r="L346" s="1"/>
      <c r="M346" s="1"/>
      <c r="N346" s="1"/>
      <c r="O346" s="1"/>
      <c r="P346" s="1"/>
      <c r="Q346" s="1"/>
      <c r="R346" s="1"/>
      <c r="S346" s="1"/>
      <c r="T346" s="1"/>
      <c r="U346" s="1"/>
      <c r="V346" s="1"/>
      <c r="W346" s="1"/>
      <c r="X346" s="1"/>
    </row>
    <row r="347" spans="1:24" ht="14.25" customHeight="1" x14ac:dyDescent="0.2">
      <c r="A347" s="79"/>
      <c r="B347" s="76"/>
      <c r="C347" s="76"/>
      <c r="D347" s="78"/>
      <c r="E347" s="77"/>
      <c r="F347" s="77"/>
      <c r="G347" s="77"/>
      <c r="H347" s="77"/>
      <c r="I347" s="77"/>
      <c r="J347" s="97"/>
      <c r="K347" s="1"/>
      <c r="L347" s="1"/>
      <c r="M347" s="1"/>
      <c r="N347" s="1"/>
      <c r="O347" s="1"/>
      <c r="P347" s="1"/>
      <c r="Q347" s="1"/>
      <c r="R347" s="1"/>
      <c r="S347" s="1"/>
      <c r="T347" s="1"/>
      <c r="U347" s="1"/>
      <c r="V347" s="1"/>
      <c r="W347" s="1"/>
      <c r="X347" s="1"/>
    </row>
    <row r="348" spans="1:24" ht="14.25" customHeight="1" x14ac:dyDescent="0.2">
      <c r="A348" s="79"/>
      <c r="B348" s="76"/>
      <c r="C348" s="76"/>
      <c r="D348" s="78"/>
      <c r="E348" s="77"/>
      <c r="F348" s="77"/>
      <c r="G348" s="77"/>
      <c r="H348" s="77"/>
      <c r="I348" s="77"/>
      <c r="J348" s="97"/>
      <c r="K348" s="1"/>
      <c r="L348" s="1"/>
      <c r="M348" s="1"/>
      <c r="N348" s="1"/>
      <c r="O348" s="1"/>
      <c r="P348" s="1"/>
      <c r="Q348" s="1"/>
      <c r="R348" s="1"/>
      <c r="S348" s="1"/>
      <c r="T348" s="1"/>
      <c r="U348" s="1"/>
      <c r="V348" s="1"/>
      <c r="W348" s="1"/>
      <c r="X348" s="1"/>
    </row>
    <row r="349" spans="1:24" ht="14.25" customHeight="1" x14ac:dyDescent="0.2">
      <c r="A349" s="79"/>
      <c r="B349" s="76"/>
      <c r="C349" s="76"/>
      <c r="D349" s="78"/>
      <c r="E349" s="77"/>
      <c r="F349" s="77"/>
      <c r="G349" s="77"/>
      <c r="H349" s="77"/>
      <c r="I349" s="77"/>
      <c r="J349" s="97"/>
      <c r="K349" s="1"/>
      <c r="L349" s="1"/>
      <c r="M349" s="1"/>
      <c r="N349" s="1"/>
      <c r="O349" s="1"/>
      <c r="P349" s="1"/>
      <c r="Q349" s="1"/>
      <c r="R349" s="1"/>
      <c r="S349" s="1"/>
      <c r="T349" s="1"/>
      <c r="U349" s="1"/>
      <c r="V349" s="1"/>
      <c r="W349" s="1"/>
      <c r="X349" s="1"/>
    </row>
    <row r="350" spans="1:24" ht="14.25" customHeight="1" x14ac:dyDescent="0.2">
      <c r="A350" s="79"/>
      <c r="B350" s="76"/>
      <c r="C350" s="76"/>
      <c r="D350" s="78"/>
      <c r="E350" s="77"/>
      <c r="F350" s="77"/>
      <c r="G350" s="77"/>
      <c r="H350" s="77"/>
      <c r="I350" s="77"/>
      <c r="J350" s="97"/>
      <c r="K350" s="1"/>
      <c r="L350" s="1"/>
      <c r="M350" s="1"/>
      <c r="N350" s="1"/>
      <c r="O350" s="1"/>
      <c r="P350" s="1"/>
      <c r="Q350" s="1"/>
      <c r="R350" s="1"/>
      <c r="S350" s="1"/>
      <c r="T350" s="1"/>
      <c r="U350" s="1"/>
      <c r="V350" s="1"/>
      <c r="W350" s="1"/>
      <c r="X350" s="1"/>
    </row>
    <row r="351" spans="1:24" ht="14.25" customHeight="1" x14ac:dyDescent="0.2">
      <c r="A351" s="79"/>
      <c r="B351" s="76"/>
      <c r="C351" s="76"/>
      <c r="D351" s="78"/>
      <c r="E351" s="77"/>
      <c r="F351" s="77"/>
      <c r="G351" s="77"/>
      <c r="H351" s="77"/>
      <c r="I351" s="77"/>
      <c r="J351" s="97"/>
      <c r="K351" s="1"/>
      <c r="L351" s="1"/>
      <c r="M351" s="1"/>
      <c r="N351" s="1"/>
      <c r="O351" s="1"/>
      <c r="P351" s="1"/>
      <c r="Q351" s="1"/>
      <c r="R351" s="1"/>
      <c r="S351" s="1"/>
      <c r="T351" s="1"/>
      <c r="U351" s="1"/>
      <c r="V351" s="1"/>
      <c r="W351" s="1"/>
      <c r="X351" s="1"/>
    </row>
    <row r="352" spans="1:24" ht="14.25" customHeight="1" x14ac:dyDescent="0.2">
      <c r="A352" s="79"/>
      <c r="B352" s="76"/>
      <c r="C352" s="76"/>
      <c r="D352" s="78"/>
      <c r="E352" s="77"/>
      <c r="F352" s="77"/>
      <c r="G352" s="77"/>
      <c r="H352" s="77"/>
      <c r="I352" s="77"/>
      <c r="J352" s="97"/>
      <c r="K352" s="1"/>
      <c r="L352" s="1"/>
      <c r="M352" s="1"/>
      <c r="N352" s="1"/>
      <c r="O352" s="1"/>
      <c r="P352" s="1"/>
      <c r="Q352" s="1"/>
      <c r="R352" s="1"/>
      <c r="S352" s="1"/>
      <c r="T352" s="1"/>
      <c r="U352" s="1"/>
      <c r="V352" s="1"/>
      <c r="W352" s="1"/>
      <c r="X352" s="1"/>
    </row>
    <row r="353" spans="1:24" ht="14.25" customHeight="1" x14ac:dyDescent="0.2">
      <c r="A353" s="79"/>
      <c r="B353" s="76"/>
      <c r="C353" s="76"/>
      <c r="D353" s="78"/>
      <c r="E353" s="77"/>
      <c r="F353" s="77"/>
      <c r="G353" s="77"/>
      <c r="H353" s="77"/>
      <c r="I353" s="77"/>
      <c r="J353" s="97"/>
      <c r="K353" s="1"/>
      <c r="L353" s="1"/>
      <c r="M353" s="1"/>
      <c r="N353" s="1"/>
      <c r="O353" s="1"/>
      <c r="P353" s="1"/>
      <c r="Q353" s="1"/>
      <c r="R353" s="1"/>
      <c r="S353" s="1"/>
      <c r="T353" s="1"/>
      <c r="U353" s="1"/>
      <c r="V353" s="1"/>
      <c r="W353" s="1"/>
      <c r="X353" s="1"/>
    </row>
    <row r="354" spans="1:24" ht="14.25" customHeight="1" x14ac:dyDescent="0.2">
      <c r="A354" s="79"/>
      <c r="B354" s="76"/>
      <c r="C354" s="76"/>
      <c r="D354" s="78"/>
      <c r="E354" s="77"/>
      <c r="F354" s="77"/>
      <c r="G354" s="77"/>
      <c r="H354" s="77"/>
      <c r="I354" s="77"/>
      <c r="J354" s="97"/>
      <c r="K354" s="1"/>
      <c r="L354" s="1"/>
      <c r="M354" s="1"/>
      <c r="N354" s="1"/>
      <c r="O354" s="1"/>
      <c r="P354" s="1"/>
      <c r="Q354" s="1"/>
      <c r="R354" s="1"/>
      <c r="S354" s="1"/>
      <c r="T354" s="1"/>
      <c r="U354" s="1"/>
      <c r="V354" s="1"/>
      <c r="W354" s="1"/>
      <c r="X354" s="1"/>
    </row>
    <row r="355" spans="1:24" ht="14.25" customHeight="1" x14ac:dyDescent="0.2">
      <c r="A355" s="79"/>
      <c r="B355" s="76"/>
      <c r="C355" s="76"/>
      <c r="D355" s="78"/>
      <c r="E355" s="77"/>
      <c r="F355" s="77"/>
      <c r="G355" s="77"/>
      <c r="H355" s="77"/>
      <c r="I355" s="77"/>
      <c r="J355" s="97"/>
      <c r="K355" s="1"/>
      <c r="L355" s="1"/>
      <c r="M355" s="1"/>
      <c r="N355" s="1"/>
      <c r="O355" s="1"/>
      <c r="P355" s="1"/>
      <c r="Q355" s="1"/>
      <c r="R355" s="1"/>
      <c r="S355" s="1"/>
      <c r="T355" s="1"/>
      <c r="U355" s="1"/>
      <c r="V355" s="1"/>
      <c r="W355" s="1"/>
      <c r="X355" s="1"/>
    </row>
    <row r="356" spans="1:24" ht="14.25" customHeight="1" x14ac:dyDescent="0.2">
      <c r="A356" s="79"/>
      <c r="B356" s="76"/>
      <c r="C356" s="76"/>
      <c r="D356" s="78"/>
      <c r="E356" s="77"/>
      <c r="F356" s="77"/>
      <c r="G356" s="77"/>
      <c r="H356" s="77"/>
      <c r="I356" s="77"/>
      <c r="J356" s="97"/>
      <c r="K356" s="1"/>
      <c r="L356" s="1"/>
      <c r="M356" s="1"/>
      <c r="N356" s="1"/>
      <c r="O356" s="1"/>
      <c r="P356" s="1"/>
      <c r="Q356" s="1"/>
      <c r="R356" s="1"/>
      <c r="S356" s="1"/>
      <c r="T356" s="1"/>
      <c r="U356" s="1"/>
      <c r="V356" s="1"/>
      <c r="W356" s="1"/>
      <c r="X356" s="1"/>
    </row>
    <row r="357" spans="1:24" ht="14.25" customHeight="1" x14ac:dyDescent="0.2">
      <c r="A357" s="79"/>
      <c r="B357" s="76"/>
      <c r="C357" s="76"/>
      <c r="D357" s="78"/>
      <c r="E357" s="77"/>
      <c r="F357" s="77"/>
      <c r="G357" s="77"/>
      <c r="H357" s="77"/>
      <c r="I357" s="77"/>
      <c r="J357" s="97"/>
      <c r="K357" s="1"/>
      <c r="L357" s="1"/>
      <c r="M357" s="1"/>
      <c r="N357" s="1"/>
      <c r="O357" s="1"/>
      <c r="P357" s="1"/>
      <c r="Q357" s="1"/>
      <c r="R357" s="1"/>
      <c r="S357" s="1"/>
      <c r="T357" s="1"/>
      <c r="U357" s="1"/>
      <c r="V357" s="1"/>
      <c r="W357" s="1"/>
      <c r="X357" s="1"/>
    </row>
    <row r="358" spans="1:24" ht="14.25" customHeight="1" x14ac:dyDescent="0.2">
      <c r="A358" s="79"/>
      <c r="B358" s="76"/>
      <c r="C358" s="76"/>
      <c r="D358" s="78"/>
      <c r="E358" s="77"/>
      <c r="F358" s="77"/>
      <c r="G358" s="77"/>
      <c r="H358" s="77"/>
      <c r="I358" s="77"/>
      <c r="J358" s="97"/>
      <c r="K358" s="1"/>
      <c r="L358" s="1"/>
      <c r="M358" s="1"/>
      <c r="N358" s="1"/>
      <c r="O358" s="1"/>
      <c r="P358" s="1"/>
      <c r="Q358" s="1"/>
      <c r="R358" s="1"/>
      <c r="S358" s="1"/>
      <c r="T358" s="1"/>
      <c r="U358" s="1"/>
      <c r="V358" s="1"/>
      <c r="W358" s="1"/>
      <c r="X358" s="1"/>
    </row>
    <row r="359" spans="1:24" ht="14.25" customHeight="1" x14ac:dyDescent="0.2">
      <c r="A359" s="79"/>
      <c r="B359" s="76"/>
      <c r="C359" s="76"/>
      <c r="D359" s="78"/>
      <c r="E359" s="77"/>
      <c r="F359" s="77"/>
      <c r="G359" s="77"/>
      <c r="H359" s="77"/>
      <c r="I359" s="77"/>
      <c r="J359" s="97"/>
      <c r="K359" s="1"/>
      <c r="L359" s="1"/>
      <c r="M359" s="1"/>
      <c r="N359" s="1"/>
      <c r="O359" s="1"/>
      <c r="P359" s="1"/>
      <c r="Q359" s="1"/>
      <c r="R359" s="1"/>
      <c r="S359" s="1"/>
      <c r="T359" s="1"/>
      <c r="U359" s="1"/>
      <c r="V359" s="1"/>
      <c r="W359" s="1"/>
      <c r="X359" s="1"/>
    </row>
    <row r="360" spans="1:24" ht="14.25" customHeight="1" x14ac:dyDescent="0.2">
      <c r="A360" s="79"/>
      <c r="B360" s="76"/>
      <c r="C360" s="76"/>
      <c r="D360" s="78"/>
      <c r="E360" s="77"/>
      <c r="F360" s="77"/>
      <c r="G360" s="77"/>
      <c r="H360" s="77"/>
      <c r="I360" s="77"/>
      <c r="J360" s="97"/>
      <c r="K360" s="1"/>
      <c r="L360" s="1"/>
      <c r="M360" s="1"/>
      <c r="N360" s="1"/>
      <c r="O360" s="1"/>
      <c r="P360" s="1"/>
      <c r="Q360" s="1"/>
      <c r="R360" s="1"/>
      <c r="S360" s="1"/>
      <c r="T360" s="1"/>
      <c r="U360" s="1"/>
      <c r="V360" s="1"/>
      <c r="W360" s="1"/>
      <c r="X360" s="1"/>
    </row>
    <row r="361" spans="1:24" ht="14.25" customHeight="1" x14ac:dyDescent="0.2">
      <c r="A361" s="79"/>
      <c r="B361" s="76"/>
      <c r="C361" s="76"/>
      <c r="D361" s="78"/>
      <c r="E361" s="77"/>
      <c r="F361" s="77"/>
      <c r="G361" s="77"/>
      <c r="H361" s="77"/>
      <c r="I361" s="77"/>
      <c r="J361" s="97"/>
      <c r="K361" s="1"/>
      <c r="L361" s="1"/>
      <c r="M361" s="1"/>
      <c r="N361" s="1"/>
      <c r="O361" s="1"/>
      <c r="P361" s="1"/>
      <c r="Q361" s="1"/>
      <c r="R361" s="1"/>
      <c r="S361" s="1"/>
      <c r="T361" s="1"/>
      <c r="U361" s="1"/>
      <c r="V361" s="1"/>
      <c r="W361" s="1"/>
      <c r="X361" s="1"/>
    </row>
    <row r="362" spans="1:24" ht="14.25" customHeight="1" x14ac:dyDescent="0.2">
      <c r="A362" s="79"/>
      <c r="B362" s="76"/>
      <c r="C362" s="76"/>
      <c r="D362" s="78"/>
      <c r="E362" s="77"/>
      <c r="F362" s="77"/>
      <c r="G362" s="77"/>
      <c r="H362" s="77"/>
      <c r="I362" s="77"/>
      <c r="J362" s="97"/>
      <c r="K362" s="1"/>
      <c r="L362" s="1"/>
      <c r="M362" s="1"/>
      <c r="N362" s="1"/>
      <c r="O362" s="1"/>
      <c r="P362" s="1"/>
      <c r="Q362" s="1"/>
      <c r="R362" s="1"/>
      <c r="S362" s="1"/>
      <c r="T362" s="1"/>
      <c r="U362" s="1"/>
      <c r="V362" s="1"/>
      <c r="W362" s="1"/>
      <c r="X362" s="1"/>
    </row>
    <row r="363" spans="1:24" ht="14.25" customHeight="1" x14ac:dyDescent="0.2">
      <c r="A363" s="79"/>
      <c r="B363" s="76"/>
      <c r="C363" s="76"/>
      <c r="D363" s="78"/>
      <c r="E363" s="77"/>
      <c r="F363" s="77"/>
      <c r="G363" s="77"/>
      <c r="H363" s="77"/>
      <c r="I363" s="77"/>
      <c r="J363" s="97"/>
      <c r="K363" s="1"/>
      <c r="L363" s="1"/>
      <c r="M363" s="1"/>
      <c r="N363" s="1"/>
      <c r="O363" s="1"/>
      <c r="P363" s="1"/>
      <c r="Q363" s="1"/>
      <c r="R363" s="1"/>
      <c r="S363" s="1"/>
      <c r="T363" s="1"/>
      <c r="U363" s="1"/>
      <c r="V363" s="1"/>
      <c r="W363" s="1"/>
      <c r="X363" s="1"/>
    </row>
    <row r="364" spans="1:24" ht="14.25" customHeight="1" x14ac:dyDescent="0.2">
      <c r="A364" s="79"/>
      <c r="B364" s="76"/>
      <c r="C364" s="76"/>
      <c r="D364" s="78"/>
      <c r="E364" s="77"/>
      <c r="F364" s="77"/>
      <c r="G364" s="77"/>
      <c r="H364" s="77"/>
      <c r="I364" s="77"/>
      <c r="J364" s="97"/>
      <c r="K364" s="1"/>
      <c r="L364" s="1"/>
      <c r="M364" s="1"/>
      <c r="N364" s="1"/>
      <c r="O364" s="1"/>
      <c r="P364" s="1"/>
      <c r="Q364" s="1"/>
      <c r="R364" s="1"/>
      <c r="S364" s="1"/>
      <c r="T364" s="1"/>
      <c r="U364" s="1"/>
      <c r="V364" s="1"/>
      <c r="W364" s="1"/>
      <c r="X364" s="1"/>
    </row>
    <row r="365" spans="1:24" ht="14.25" customHeight="1" x14ac:dyDescent="0.2">
      <c r="A365" s="79"/>
      <c r="B365" s="76"/>
      <c r="C365" s="76"/>
      <c r="D365" s="78"/>
      <c r="E365" s="77"/>
      <c r="F365" s="77"/>
      <c r="G365" s="77"/>
      <c r="H365" s="77"/>
      <c r="I365" s="77"/>
      <c r="J365" s="97"/>
      <c r="K365" s="1"/>
      <c r="L365" s="1"/>
      <c r="M365" s="1"/>
      <c r="N365" s="1"/>
      <c r="O365" s="1"/>
      <c r="P365" s="1"/>
      <c r="Q365" s="1"/>
      <c r="R365" s="1"/>
      <c r="S365" s="1"/>
      <c r="T365" s="1"/>
      <c r="U365" s="1"/>
      <c r="V365" s="1"/>
      <c r="W365" s="1"/>
      <c r="X365" s="1"/>
    </row>
    <row r="366" spans="1:24" ht="14.25" customHeight="1" x14ac:dyDescent="0.2">
      <c r="A366" s="79"/>
      <c r="B366" s="76"/>
      <c r="C366" s="76"/>
      <c r="D366" s="78"/>
      <c r="E366" s="77"/>
      <c r="F366" s="77"/>
      <c r="G366" s="77"/>
      <c r="H366" s="77"/>
      <c r="I366" s="77"/>
      <c r="J366" s="97"/>
      <c r="K366" s="1"/>
      <c r="L366" s="1"/>
      <c r="M366" s="1"/>
      <c r="N366" s="1"/>
      <c r="O366" s="1"/>
      <c r="P366" s="1"/>
      <c r="Q366" s="1"/>
      <c r="R366" s="1"/>
      <c r="S366" s="1"/>
      <c r="T366" s="1"/>
      <c r="U366" s="1"/>
      <c r="V366" s="1"/>
      <c r="W366" s="1"/>
      <c r="X366" s="1"/>
    </row>
    <row r="367" spans="1:24" ht="14.25" customHeight="1" x14ac:dyDescent="0.2">
      <c r="A367" s="79"/>
      <c r="B367" s="76"/>
      <c r="C367" s="76"/>
      <c r="D367" s="78"/>
      <c r="E367" s="77"/>
      <c r="F367" s="77"/>
      <c r="G367" s="77"/>
      <c r="H367" s="77"/>
      <c r="I367" s="77"/>
      <c r="J367" s="97"/>
      <c r="K367" s="1"/>
      <c r="L367" s="1"/>
      <c r="M367" s="1"/>
      <c r="N367" s="1"/>
      <c r="O367" s="1"/>
      <c r="P367" s="1"/>
      <c r="Q367" s="1"/>
      <c r="R367" s="1"/>
      <c r="S367" s="1"/>
      <c r="T367" s="1"/>
      <c r="U367" s="1"/>
      <c r="V367" s="1"/>
      <c r="W367" s="1"/>
      <c r="X367" s="1"/>
    </row>
    <row r="368" spans="1:24" ht="14.25" customHeight="1" x14ac:dyDescent="0.2">
      <c r="A368" s="79"/>
      <c r="B368" s="76"/>
      <c r="C368" s="76"/>
      <c r="D368" s="78"/>
      <c r="E368" s="77"/>
      <c r="F368" s="77"/>
      <c r="G368" s="77"/>
      <c r="H368" s="77"/>
      <c r="I368" s="77"/>
      <c r="J368" s="97"/>
      <c r="K368" s="1"/>
      <c r="L368" s="1"/>
      <c r="M368" s="1"/>
      <c r="N368" s="1"/>
      <c r="O368" s="1"/>
      <c r="P368" s="1"/>
      <c r="Q368" s="1"/>
      <c r="R368" s="1"/>
      <c r="S368" s="1"/>
      <c r="T368" s="1"/>
      <c r="U368" s="1"/>
      <c r="V368" s="1"/>
      <c r="W368" s="1"/>
      <c r="X368" s="1"/>
    </row>
    <row r="369" spans="1:24" ht="14.25" customHeight="1" x14ac:dyDescent="0.2">
      <c r="A369" s="79"/>
      <c r="B369" s="76"/>
      <c r="C369" s="76"/>
      <c r="D369" s="78"/>
      <c r="E369" s="77"/>
      <c r="F369" s="77"/>
      <c r="G369" s="77"/>
      <c r="H369" s="77"/>
      <c r="I369" s="77"/>
      <c r="J369" s="97"/>
      <c r="K369" s="1"/>
      <c r="L369" s="1"/>
      <c r="M369" s="1"/>
      <c r="N369" s="1"/>
      <c r="O369" s="1"/>
      <c r="P369" s="1"/>
      <c r="Q369" s="1"/>
      <c r="R369" s="1"/>
      <c r="S369" s="1"/>
      <c r="T369" s="1"/>
      <c r="U369" s="1"/>
      <c r="V369" s="1"/>
      <c r="W369" s="1"/>
      <c r="X369" s="1"/>
    </row>
    <row r="370" spans="1:24" ht="14.25" customHeight="1" x14ac:dyDescent="0.2">
      <c r="A370" s="79"/>
      <c r="B370" s="76"/>
      <c r="C370" s="76"/>
      <c r="D370" s="78"/>
      <c r="E370" s="77"/>
      <c r="F370" s="77"/>
      <c r="G370" s="77"/>
      <c r="H370" s="77"/>
      <c r="I370" s="77"/>
      <c r="J370" s="97"/>
      <c r="K370" s="1"/>
      <c r="L370" s="1"/>
      <c r="M370" s="1"/>
      <c r="N370" s="1"/>
      <c r="O370" s="1"/>
      <c r="P370" s="1"/>
      <c r="Q370" s="1"/>
      <c r="R370" s="1"/>
      <c r="S370" s="1"/>
      <c r="T370" s="1"/>
      <c r="U370" s="1"/>
      <c r="V370" s="1"/>
      <c r="W370" s="1"/>
      <c r="X370" s="1"/>
    </row>
    <row r="371" spans="1:24" ht="14.25" customHeight="1" x14ac:dyDescent="0.2">
      <c r="A371" s="79"/>
      <c r="B371" s="76"/>
      <c r="C371" s="76"/>
      <c r="D371" s="78"/>
      <c r="E371" s="77"/>
      <c r="F371" s="77"/>
      <c r="G371" s="77"/>
      <c r="H371" s="77"/>
      <c r="I371" s="77"/>
      <c r="J371" s="97"/>
      <c r="K371" s="1"/>
      <c r="L371" s="1"/>
      <c r="M371" s="1"/>
      <c r="N371" s="1"/>
      <c r="O371" s="1"/>
      <c r="P371" s="1"/>
      <c r="Q371" s="1"/>
      <c r="R371" s="1"/>
      <c r="S371" s="1"/>
      <c r="T371" s="1"/>
      <c r="U371" s="1"/>
      <c r="V371" s="1"/>
      <c r="W371" s="1"/>
      <c r="X371" s="1"/>
    </row>
    <row r="372" spans="1:24" ht="14.25" customHeight="1" x14ac:dyDescent="0.2">
      <c r="A372" s="79"/>
      <c r="B372" s="76"/>
      <c r="C372" s="76"/>
      <c r="D372" s="78"/>
      <c r="E372" s="77"/>
      <c r="F372" s="77"/>
      <c r="G372" s="77"/>
      <c r="H372" s="77"/>
      <c r="I372" s="77"/>
      <c r="J372" s="97"/>
      <c r="K372" s="1"/>
      <c r="L372" s="1"/>
      <c r="M372" s="1"/>
      <c r="N372" s="1"/>
      <c r="O372" s="1"/>
      <c r="P372" s="1"/>
      <c r="Q372" s="1"/>
      <c r="R372" s="1"/>
      <c r="S372" s="1"/>
      <c r="T372" s="1"/>
      <c r="U372" s="1"/>
      <c r="V372" s="1"/>
      <c r="W372" s="1"/>
      <c r="X372" s="1"/>
    </row>
    <row r="373" spans="1:24" ht="14.25" customHeight="1" x14ac:dyDescent="0.2">
      <c r="A373" s="79"/>
      <c r="B373" s="76"/>
      <c r="C373" s="76"/>
      <c r="D373" s="78"/>
      <c r="E373" s="77"/>
      <c r="F373" s="77"/>
      <c r="G373" s="77"/>
      <c r="H373" s="77"/>
      <c r="I373" s="77"/>
      <c r="J373" s="97"/>
      <c r="K373" s="1"/>
      <c r="L373" s="1"/>
      <c r="M373" s="1"/>
      <c r="N373" s="1"/>
      <c r="O373" s="1"/>
      <c r="P373" s="1"/>
      <c r="Q373" s="1"/>
      <c r="R373" s="1"/>
      <c r="S373" s="1"/>
      <c r="T373" s="1"/>
      <c r="U373" s="1"/>
      <c r="V373" s="1"/>
      <c r="W373" s="1"/>
      <c r="X373" s="1"/>
    </row>
    <row r="374" spans="1:24" ht="14.25" customHeight="1" x14ac:dyDescent="0.2">
      <c r="A374" s="79"/>
      <c r="B374" s="76"/>
      <c r="C374" s="76"/>
      <c r="D374" s="78"/>
      <c r="E374" s="77"/>
      <c r="F374" s="77"/>
      <c r="G374" s="77"/>
      <c r="H374" s="77"/>
      <c r="I374" s="77"/>
      <c r="J374" s="97"/>
      <c r="K374" s="1"/>
      <c r="L374" s="1"/>
      <c r="M374" s="1"/>
      <c r="N374" s="1"/>
      <c r="O374" s="1"/>
      <c r="P374" s="1"/>
      <c r="Q374" s="1"/>
      <c r="R374" s="1"/>
      <c r="S374" s="1"/>
      <c r="T374" s="1"/>
      <c r="U374" s="1"/>
      <c r="V374" s="1"/>
      <c r="W374" s="1"/>
      <c r="X374" s="1"/>
    </row>
    <row r="375" spans="1:24" ht="14.25" customHeight="1" x14ac:dyDescent="0.2">
      <c r="A375" s="79"/>
      <c r="B375" s="76"/>
      <c r="C375" s="76"/>
      <c r="D375" s="78"/>
      <c r="E375" s="77"/>
      <c r="F375" s="77"/>
      <c r="G375" s="77"/>
      <c r="H375" s="77"/>
      <c r="I375" s="77"/>
      <c r="J375" s="97"/>
      <c r="K375" s="1"/>
      <c r="L375" s="1"/>
      <c r="M375" s="1"/>
      <c r="N375" s="1"/>
      <c r="O375" s="1"/>
      <c r="P375" s="1"/>
      <c r="Q375" s="1"/>
      <c r="R375" s="1"/>
      <c r="S375" s="1"/>
      <c r="T375" s="1"/>
      <c r="U375" s="1"/>
      <c r="V375" s="1"/>
      <c r="W375" s="1"/>
      <c r="X375" s="1"/>
    </row>
    <row r="376" spans="1:24" ht="14.25" customHeight="1" x14ac:dyDescent="0.2">
      <c r="A376" s="79"/>
      <c r="B376" s="76"/>
      <c r="C376" s="76"/>
      <c r="D376" s="78"/>
      <c r="E376" s="77"/>
      <c r="F376" s="77"/>
      <c r="G376" s="77"/>
      <c r="H376" s="77"/>
      <c r="I376" s="77"/>
      <c r="J376" s="97"/>
      <c r="K376" s="1"/>
      <c r="L376" s="1"/>
      <c r="M376" s="1"/>
      <c r="N376" s="1"/>
      <c r="O376" s="1"/>
      <c r="P376" s="1"/>
      <c r="Q376" s="1"/>
      <c r="R376" s="1"/>
      <c r="S376" s="1"/>
      <c r="T376" s="1"/>
      <c r="U376" s="1"/>
      <c r="V376" s="1"/>
      <c r="W376" s="1"/>
      <c r="X376" s="1"/>
    </row>
    <row r="377" spans="1:24" ht="14.25" customHeight="1" x14ac:dyDescent="0.2">
      <c r="A377" s="79"/>
      <c r="B377" s="76"/>
      <c r="C377" s="76"/>
      <c r="D377" s="78"/>
      <c r="E377" s="77"/>
      <c r="F377" s="77"/>
      <c r="G377" s="77"/>
      <c r="H377" s="77"/>
      <c r="I377" s="77"/>
      <c r="J377" s="97"/>
      <c r="K377" s="1"/>
      <c r="L377" s="1"/>
      <c r="M377" s="1"/>
      <c r="N377" s="1"/>
      <c r="O377" s="1"/>
      <c r="P377" s="1"/>
      <c r="Q377" s="1"/>
      <c r="R377" s="1"/>
      <c r="S377" s="1"/>
      <c r="T377" s="1"/>
      <c r="U377" s="1"/>
      <c r="V377" s="1"/>
      <c r="W377" s="1"/>
      <c r="X377" s="1"/>
    </row>
    <row r="378" spans="1:24" ht="14.25" customHeight="1" x14ac:dyDescent="0.2">
      <c r="A378" s="79"/>
      <c r="B378" s="76"/>
      <c r="C378" s="76"/>
      <c r="D378" s="78"/>
      <c r="E378" s="77"/>
      <c r="F378" s="77"/>
      <c r="G378" s="77"/>
      <c r="H378" s="77"/>
      <c r="I378" s="77"/>
      <c r="J378" s="97"/>
      <c r="K378" s="1"/>
      <c r="L378" s="1"/>
      <c r="M378" s="1"/>
      <c r="N378" s="1"/>
      <c r="O378" s="1"/>
      <c r="P378" s="1"/>
      <c r="Q378" s="1"/>
      <c r="R378" s="1"/>
      <c r="S378" s="1"/>
      <c r="T378" s="1"/>
      <c r="U378" s="1"/>
      <c r="V378" s="1"/>
      <c r="W378" s="1"/>
      <c r="X378" s="1"/>
    </row>
    <row r="379" spans="1:24" ht="14.25" customHeight="1" x14ac:dyDescent="0.2">
      <c r="A379" s="79"/>
      <c r="B379" s="76"/>
      <c r="C379" s="76"/>
      <c r="D379" s="78"/>
      <c r="E379" s="77"/>
      <c r="F379" s="77"/>
      <c r="G379" s="77"/>
      <c r="H379" s="77"/>
      <c r="I379" s="77"/>
      <c r="J379" s="97"/>
      <c r="K379" s="1"/>
      <c r="L379" s="1"/>
      <c r="M379" s="1"/>
      <c r="N379" s="1"/>
      <c r="O379" s="1"/>
      <c r="P379" s="1"/>
      <c r="Q379" s="1"/>
      <c r="R379" s="1"/>
      <c r="S379" s="1"/>
      <c r="T379" s="1"/>
      <c r="U379" s="1"/>
      <c r="V379" s="1"/>
      <c r="W379" s="1"/>
      <c r="X379" s="1"/>
    </row>
    <row r="380" spans="1:24" ht="14.25" customHeight="1" x14ac:dyDescent="0.2">
      <c r="A380" s="79"/>
      <c r="B380" s="76"/>
      <c r="C380" s="76"/>
      <c r="D380" s="78"/>
      <c r="E380" s="77"/>
      <c r="F380" s="77"/>
      <c r="G380" s="77"/>
      <c r="H380" s="77"/>
      <c r="I380" s="77"/>
      <c r="J380" s="97"/>
      <c r="K380" s="1"/>
      <c r="L380" s="1"/>
      <c r="M380" s="1"/>
      <c r="N380" s="1"/>
      <c r="O380" s="1"/>
      <c r="P380" s="1"/>
      <c r="Q380" s="1"/>
      <c r="R380" s="1"/>
      <c r="S380" s="1"/>
      <c r="T380" s="1"/>
      <c r="U380" s="1"/>
      <c r="V380" s="1"/>
      <c r="W380" s="1"/>
      <c r="X380" s="1"/>
    </row>
    <row r="381" spans="1:24" ht="14.25" customHeight="1" x14ac:dyDescent="0.2">
      <c r="A381" s="79"/>
      <c r="B381" s="76"/>
      <c r="C381" s="76"/>
      <c r="D381" s="78"/>
      <c r="E381" s="77"/>
      <c r="F381" s="77"/>
      <c r="G381" s="77"/>
      <c r="H381" s="77"/>
      <c r="I381" s="77"/>
      <c r="J381" s="97"/>
      <c r="K381" s="1"/>
      <c r="L381" s="1"/>
      <c r="M381" s="1"/>
      <c r="N381" s="1"/>
      <c r="O381" s="1"/>
      <c r="P381" s="1"/>
      <c r="Q381" s="1"/>
      <c r="R381" s="1"/>
      <c r="S381" s="1"/>
      <c r="T381" s="1"/>
      <c r="U381" s="1"/>
      <c r="V381" s="1"/>
      <c r="W381" s="1"/>
      <c r="X381" s="1"/>
    </row>
    <row r="382" spans="1:24" ht="14.25" customHeight="1" x14ac:dyDescent="0.2">
      <c r="A382" s="79"/>
      <c r="B382" s="76"/>
      <c r="C382" s="76"/>
      <c r="D382" s="78"/>
      <c r="E382" s="77"/>
      <c r="F382" s="77"/>
      <c r="G382" s="77"/>
      <c r="H382" s="77"/>
      <c r="I382" s="77"/>
      <c r="J382" s="97"/>
      <c r="K382" s="1"/>
      <c r="L382" s="1"/>
      <c r="M382" s="1"/>
      <c r="N382" s="1"/>
      <c r="O382" s="1"/>
      <c r="P382" s="1"/>
      <c r="Q382" s="1"/>
      <c r="R382" s="1"/>
      <c r="S382" s="1"/>
      <c r="T382" s="1"/>
      <c r="U382" s="1"/>
      <c r="V382" s="1"/>
      <c r="W382" s="1"/>
      <c r="X382" s="1"/>
    </row>
    <row r="383" spans="1:24" ht="14.25" customHeight="1" x14ac:dyDescent="0.2">
      <c r="A383" s="79"/>
      <c r="B383" s="76"/>
      <c r="C383" s="76"/>
      <c r="D383" s="78"/>
      <c r="E383" s="77"/>
      <c r="F383" s="77"/>
      <c r="G383" s="77"/>
      <c r="H383" s="77"/>
      <c r="I383" s="77"/>
      <c r="J383" s="97"/>
      <c r="K383" s="1"/>
      <c r="L383" s="1"/>
      <c r="M383" s="1"/>
      <c r="N383" s="1"/>
      <c r="O383" s="1"/>
      <c r="P383" s="1"/>
      <c r="Q383" s="1"/>
      <c r="R383" s="1"/>
      <c r="S383" s="1"/>
      <c r="T383" s="1"/>
      <c r="U383" s="1"/>
      <c r="V383" s="1"/>
      <c r="W383" s="1"/>
      <c r="X383" s="1"/>
    </row>
    <row r="384" spans="1:24" ht="14.25" customHeight="1" x14ac:dyDescent="0.2">
      <c r="A384" s="79"/>
      <c r="B384" s="76"/>
      <c r="C384" s="76"/>
      <c r="D384" s="78"/>
      <c r="E384" s="77"/>
      <c r="F384" s="77"/>
      <c r="G384" s="77"/>
      <c r="H384" s="77"/>
      <c r="I384" s="77"/>
      <c r="J384" s="97"/>
      <c r="K384" s="1"/>
      <c r="L384" s="1"/>
      <c r="M384" s="1"/>
      <c r="N384" s="1"/>
      <c r="O384" s="1"/>
      <c r="P384" s="1"/>
      <c r="Q384" s="1"/>
      <c r="R384" s="1"/>
      <c r="S384" s="1"/>
      <c r="T384" s="1"/>
      <c r="U384" s="1"/>
      <c r="V384" s="1"/>
      <c r="W384" s="1"/>
      <c r="X384" s="1"/>
    </row>
    <row r="385" spans="1:24" ht="14.25" customHeight="1" x14ac:dyDescent="0.2">
      <c r="A385" s="79"/>
      <c r="B385" s="76"/>
      <c r="C385" s="76"/>
      <c r="D385" s="78"/>
      <c r="E385" s="77"/>
      <c r="F385" s="77"/>
      <c r="G385" s="77"/>
      <c r="H385" s="77"/>
      <c r="I385" s="77"/>
      <c r="J385" s="97"/>
      <c r="K385" s="1"/>
      <c r="L385" s="1"/>
      <c r="M385" s="1"/>
      <c r="N385" s="1"/>
      <c r="O385" s="1"/>
      <c r="P385" s="1"/>
      <c r="Q385" s="1"/>
      <c r="R385" s="1"/>
      <c r="S385" s="1"/>
      <c r="T385" s="1"/>
      <c r="U385" s="1"/>
      <c r="V385" s="1"/>
      <c r="W385" s="1"/>
      <c r="X385" s="1"/>
    </row>
    <row r="386" spans="1:24" ht="14.25" customHeight="1" x14ac:dyDescent="0.2">
      <c r="A386" s="79"/>
      <c r="B386" s="76"/>
      <c r="C386" s="76"/>
      <c r="D386" s="78"/>
      <c r="E386" s="77"/>
      <c r="F386" s="77"/>
      <c r="G386" s="77"/>
      <c r="H386" s="77"/>
      <c r="I386" s="77"/>
      <c r="J386" s="97"/>
      <c r="K386" s="1"/>
      <c r="L386" s="1"/>
      <c r="M386" s="1"/>
      <c r="N386" s="1"/>
      <c r="O386" s="1"/>
      <c r="P386" s="1"/>
      <c r="Q386" s="1"/>
      <c r="R386" s="1"/>
      <c r="S386" s="1"/>
      <c r="T386" s="1"/>
      <c r="U386" s="1"/>
      <c r="V386" s="1"/>
      <c r="W386" s="1"/>
      <c r="X386" s="1"/>
    </row>
    <row r="387" spans="1:24" ht="14.25" customHeight="1" x14ac:dyDescent="0.2">
      <c r="A387" s="79"/>
      <c r="B387" s="76"/>
      <c r="C387" s="76"/>
      <c r="D387" s="78"/>
      <c r="E387" s="77"/>
      <c r="F387" s="77"/>
      <c r="G387" s="77"/>
      <c r="H387" s="77"/>
      <c r="I387" s="77"/>
      <c r="J387" s="97"/>
      <c r="K387" s="1"/>
      <c r="L387" s="1"/>
      <c r="M387" s="1"/>
      <c r="N387" s="1"/>
      <c r="O387" s="1"/>
      <c r="P387" s="1"/>
      <c r="Q387" s="1"/>
      <c r="R387" s="1"/>
      <c r="S387" s="1"/>
      <c r="T387" s="1"/>
      <c r="U387" s="1"/>
      <c r="V387" s="1"/>
      <c r="W387" s="1"/>
      <c r="X387" s="1"/>
    </row>
    <row r="388" spans="1:24" ht="14.25" customHeight="1" x14ac:dyDescent="0.2">
      <c r="A388" s="79"/>
      <c r="B388" s="76"/>
      <c r="C388" s="76"/>
      <c r="D388" s="78"/>
      <c r="E388" s="77"/>
      <c r="F388" s="77"/>
      <c r="G388" s="77"/>
      <c r="H388" s="77"/>
      <c r="I388" s="77"/>
      <c r="J388" s="97"/>
      <c r="K388" s="1"/>
      <c r="L388" s="1"/>
      <c r="M388" s="1"/>
      <c r="N388" s="1"/>
      <c r="O388" s="1"/>
      <c r="P388" s="1"/>
      <c r="Q388" s="1"/>
      <c r="R388" s="1"/>
      <c r="S388" s="1"/>
      <c r="T388" s="1"/>
      <c r="U388" s="1"/>
      <c r="V388" s="1"/>
      <c r="W388" s="1"/>
      <c r="X388" s="1"/>
    </row>
    <row r="389" spans="1:24" ht="14.25" customHeight="1" x14ac:dyDescent="0.2">
      <c r="A389" s="79"/>
      <c r="B389" s="76"/>
      <c r="C389" s="76"/>
      <c r="D389" s="78"/>
      <c r="E389" s="77"/>
      <c r="F389" s="77"/>
      <c r="G389" s="77"/>
      <c r="H389" s="77"/>
      <c r="I389" s="77"/>
      <c r="J389" s="97"/>
      <c r="K389" s="1"/>
      <c r="L389" s="1"/>
      <c r="M389" s="1"/>
      <c r="N389" s="1"/>
      <c r="O389" s="1"/>
      <c r="P389" s="1"/>
      <c r="Q389" s="1"/>
      <c r="R389" s="1"/>
      <c r="S389" s="1"/>
      <c r="T389" s="1"/>
      <c r="U389" s="1"/>
      <c r="V389" s="1"/>
      <c r="W389" s="1"/>
      <c r="X389" s="1"/>
    </row>
    <row r="390" spans="1:24" ht="14.25" customHeight="1" x14ac:dyDescent="0.2">
      <c r="A390" s="79"/>
      <c r="B390" s="76"/>
      <c r="C390" s="76"/>
      <c r="D390" s="78"/>
      <c r="E390" s="77"/>
      <c r="F390" s="77"/>
      <c r="G390" s="77"/>
      <c r="H390" s="77"/>
      <c r="I390" s="77"/>
      <c r="J390" s="97"/>
      <c r="K390" s="1"/>
      <c r="L390" s="1"/>
      <c r="M390" s="1"/>
      <c r="N390" s="1"/>
      <c r="O390" s="1"/>
      <c r="P390" s="1"/>
      <c r="Q390" s="1"/>
      <c r="R390" s="1"/>
      <c r="S390" s="1"/>
      <c r="T390" s="1"/>
      <c r="U390" s="1"/>
      <c r="V390" s="1"/>
      <c r="W390" s="1"/>
      <c r="X390" s="1"/>
    </row>
    <row r="391" spans="1:24" ht="14.25" customHeight="1" x14ac:dyDescent="0.2">
      <c r="A391" s="79"/>
      <c r="B391" s="76"/>
      <c r="C391" s="76"/>
      <c r="D391" s="78"/>
      <c r="E391" s="77"/>
      <c r="F391" s="77"/>
      <c r="G391" s="77"/>
      <c r="H391" s="77"/>
      <c r="I391" s="77"/>
      <c r="J391" s="97"/>
      <c r="K391" s="1"/>
      <c r="L391" s="1"/>
      <c r="M391" s="1"/>
      <c r="N391" s="1"/>
      <c r="O391" s="1"/>
      <c r="P391" s="1"/>
      <c r="Q391" s="1"/>
      <c r="R391" s="1"/>
      <c r="S391" s="1"/>
      <c r="T391" s="1"/>
      <c r="U391" s="1"/>
      <c r="V391" s="1"/>
      <c r="W391" s="1"/>
      <c r="X391" s="1"/>
    </row>
    <row r="392" spans="1:24" ht="14.25" customHeight="1" x14ac:dyDescent="0.2">
      <c r="A392" s="79"/>
      <c r="B392" s="76"/>
      <c r="C392" s="76"/>
      <c r="D392" s="78"/>
      <c r="E392" s="77"/>
      <c r="F392" s="77"/>
      <c r="G392" s="77"/>
      <c r="H392" s="77"/>
      <c r="I392" s="77"/>
      <c r="J392" s="97"/>
      <c r="K392" s="1"/>
      <c r="L392" s="1"/>
      <c r="M392" s="1"/>
      <c r="N392" s="1"/>
      <c r="O392" s="1"/>
      <c r="P392" s="1"/>
      <c r="Q392" s="1"/>
      <c r="R392" s="1"/>
      <c r="S392" s="1"/>
      <c r="T392" s="1"/>
      <c r="U392" s="1"/>
      <c r="V392" s="1"/>
      <c r="W392" s="1"/>
      <c r="X392" s="1"/>
    </row>
    <row r="393" spans="1:24" ht="14.25" customHeight="1" x14ac:dyDescent="0.2">
      <c r="A393" s="79"/>
      <c r="B393" s="76"/>
      <c r="C393" s="76"/>
      <c r="D393" s="78"/>
      <c r="E393" s="77"/>
      <c r="F393" s="77"/>
      <c r="G393" s="77"/>
      <c r="H393" s="77"/>
      <c r="I393" s="77"/>
      <c r="J393" s="97"/>
      <c r="K393" s="1"/>
      <c r="L393" s="1"/>
      <c r="M393" s="1"/>
      <c r="N393" s="1"/>
      <c r="O393" s="1"/>
      <c r="P393" s="1"/>
      <c r="Q393" s="1"/>
      <c r="R393" s="1"/>
      <c r="S393" s="1"/>
      <c r="T393" s="1"/>
      <c r="U393" s="1"/>
      <c r="V393" s="1"/>
      <c r="W393" s="1"/>
      <c r="X393" s="1"/>
    </row>
    <row r="394" spans="1:24" ht="14.25" customHeight="1" x14ac:dyDescent="0.2">
      <c r="A394" s="79"/>
      <c r="B394" s="76"/>
      <c r="C394" s="76"/>
      <c r="D394" s="78"/>
      <c r="E394" s="77"/>
      <c r="F394" s="77"/>
      <c r="G394" s="77"/>
      <c r="H394" s="77"/>
      <c r="I394" s="77"/>
      <c r="J394" s="97"/>
      <c r="K394" s="1"/>
      <c r="L394" s="1"/>
      <c r="M394" s="1"/>
      <c r="N394" s="1"/>
      <c r="O394" s="1"/>
      <c r="P394" s="1"/>
      <c r="Q394" s="1"/>
      <c r="R394" s="1"/>
      <c r="S394" s="1"/>
      <c r="T394" s="1"/>
      <c r="U394" s="1"/>
      <c r="V394" s="1"/>
      <c r="W394" s="1"/>
      <c r="X394" s="1"/>
    </row>
    <row r="395" spans="1:24" ht="14.25" customHeight="1" x14ac:dyDescent="0.2">
      <c r="A395" s="79"/>
      <c r="B395" s="76"/>
      <c r="C395" s="76"/>
      <c r="D395" s="78"/>
      <c r="E395" s="77"/>
      <c r="F395" s="77"/>
      <c r="G395" s="77"/>
      <c r="H395" s="77"/>
      <c r="I395" s="77"/>
      <c r="J395" s="97"/>
      <c r="K395" s="1"/>
      <c r="L395" s="1"/>
      <c r="M395" s="1"/>
      <c r="N395" s="1"/>
      <c r="O395" s="1"/>
      <c r="P395" s="1"/>
      <c r="Q395" s="1"/>
      <c r="R395" s="1"/>
      <c r="S395" s="1"/>
      <c r="T395" s="1"/>
      <c r="U395" s="1"/>
      <c r="V395" s="1"/>
      <c r="W395" s="1"/>
      <c r="X395" s="1"/>
    </row>
    <row r="396" spans="1:24" ht="14.25" customHeight="1" x14ac:dyDescent="0.2">
      <c r="A396" s="79"/>
      <c r="B396" s="76"/>
      <c r="C396" s="76"/>
      <c r="D396" s="78"/>
      <c r="E396" s="77"/>
      <c r="F396" s="77"/>
      <c r="G396" s="77"/>
      <c r="H396" s="77"/>
      <c r="I396" s="77"/>
      <c r="J396" s="97"/>
      <c r="K396" s="1"/>
      <c r="L396" s="1"/>
      <c r="M396" s="1"/>
      <c r="N396" s="1"/>
      <c r="O396" s="1"/>
      <c r="P396" s="1"/>
      <c r="Q396" s="1"/>
      <c r="R396" s="1"/>
      <c r="S396" s="1"/>
      <c r="T396" s="1"/>
      <c r="U396" s="1"/>
      <c r="V396" s="1"/>
      <c r="W396" s="1"/>
      <c r="X396" s="1"/>
    </row>
    <row r="397" spans="1:24" ht="14.25" customHeight="1" x14ac:dyDescent="0.2">
      <c r="A397" s="79"/>
      <c r="B397" s="76"/>
      <c r="C397" s="76"/>
      <c r="D397" s="78"/>
      <c r="E397" s="77"/>
      <c r="F397" s="77"/>
      <c r="G397" s="77"/>
      <c r="H397" s="77"/>
      <c r="I397" s="77"/>
      <c r="J397" s="97"/>
      <c r="K397" s="1"/>
      <c r="L397" s="1"/>
      <c r="M397" s="1"/>
      <c r="N397" s="1"/>
      <c r="O397" s="1"/>
      <c r="P397" s="1"/>
      <c r="Q397" s="1"/>
      <c r="R397" s="1"/>
      <c r="S397" s="1"/>
      <c r="T397" s="1"/>
      <c r="U397" s="1"/>
      <c r="V397" s="1"/>
      <c r="W397" s="1"/>
      <c r="X397" s="1"/>
    </row>
    <row r="398" spans="1:24" ht="14.25" customHeight="1" x14ac:dyDescent="0.2">
      <c r="A398" s="79"/>
      <c r="B398" s="76"/>
      <c r="C398" s="76"/>
      <c r="D398" s="78"/>
      <c r="E398" s="77"/>
      <c r="F398" s="77"/>
      <c r="G398" s="77"/>
      <c r="H398" s="77"/>
      <c r="I398" s="77"/>
      <c r="J398" s="97"/>
      <c r="K398" s="1"/>
      <c r="L398" s="1"/>
      <c r="M398" s="1"/>
      <c r="N398" s="1"/>
      <c r="O398" s="1"/>
      <c r="P398" s="1"/>
      <c r="Q398" s="1"/>
      <c r="R398" s="1"/>
      <c r="S398" s="1"/>
      <c r="T398" s="1"/>
      <c r="U398" s="1"/>
      <c r="V398" s="1"/>
      <c r="W398" s="1"/>
      <c r="X398" s="1"/>
    </row>
    <row r="399" spans="1:24" ht="14.25" customHeight="1" x14ac:dyDescent="0.2">
      <c r="A399" s="79"/>
      <c r="B399" s="76"/>
      <c r="C399" s="76"/>
      <c r="D399" s="78"/>
      <c r="E399" s="77"/>
      <c r="F399" s="77"/>
      <c r="G399" s="77"/>
      <c r="H399" s="77"/>
      <c r="I399" s="77"/>
      <c r="J399" s="97"/>
      <c r="K399" s="1"/>
      <c r="L399" s="1"/>
      <c r="M399" s="1"/>
      <c r="N399" s="1"/>
      <c r="O399" s="1"/>
      <c r="P399" s="1"/>
      <c r="Q399" s="1"/>
      <c r="R399" s="1"/>
      <c r="S399" s="1"/>
      <c r="T399" s="1"/>
      <c r="U399" s="1"/>
      <c r="V399" s="1"/>
      <c r="W399" s="1"/>
      <c r="X399" s="1"/>
    </row>
    <row r="400" spans="1:24" ht="14.25" customHeight="1" x14ac:dyDescent="0.2">
      <c r="A400" s="79"/>
      <c r="B400" s="76"/>
      <c r="C400" s="76"/>
      <c r="D400" s="78"/>
      <c r="E400" s="77"/>
      <c r="F400" s="77"/>
      <c r="G400" s="77"/>
      <c r="H400" s="77"/>
      <c r="I400" s="77"/>
      <c r="J400" s="97"/>
      <c r="K400" s="1"/>
      <c r="L400" s="1"/>
      <c r="M400" s="1"/>
      <c r="N400" s="1"/>
      <c r="O400" s="1"/>
      <c r="P400" s="1"/>
      <c r="Q400" s="1"/>
      <c r="R400" s="1"/>
      <c r="S400" s="1"/>
      <c r="T400" s="1"/>
      <c r="U400" s="1"/>
      <c r="V400" s="1"/>
      <c r="W400" s="1"/>
      <c r="X400" s="1"/>
    </row>
    <row r="401" spans="1:24" ht="14.25" customHeight="1" x14ac:dyDescent="0.2">
      <c r="A401" s="79"/>
      <c r="B401" s="76"/>
      <c r="C401" s="76"/>
      <c r="D401" s="78"/>
      <c r="E401" s="77"/>
      <c r="F401" s="77"/>
      <c r="G401" s="77"/>
      <c r="H401" s="77"/>
      <c r="I401" s="77"/>
      <c r="J401" s="97"/>
      <c r="K401" s="1"/>
      <c r="L401" s="1"/>
      <c r="M401" s="1"/>
      <c r="N401" s="1"/>
      <c r="O401" s="1"/>
      <c r="P401" s="1"/>
      <c r="Q401" s="1"/>
      <c r="R401" s="1"/>
      <c r="S401" s="1"/>
      <c r="T401" s="1"/>
      <c r="U401" s="1"/>
      <c r="V401" s="1"/>
      <c r="W401" s="1"/>
      <c r="X401" s="1"/>
    </row>
    <row r="402" spans="1:24" ht="14.25" customHeight="1" x14ac:dyDescent="0.2">
      <c r="A402" s="79"/>
      <c r="B402" s="76"/>
      <c r="C402" s="76"/>
      <c r="D402" s="78"/>
      <c r="E402" s="77"/>
      <c r="F402" s="77"/>
      <c r="G402" s="77"/>
      <c r="H402" s="77"/>
      <c r="I402" s="77"/>
      <c r="J402" s="97"/>
      <c r="K402" s="1"/>
      <c r="L402" s="1"/>
      <c r="M402" s="1"/>
      <c r="N402" s="1"/>
      <c r="O402" s="1"/>
      <c r="P402" s="1"/>
      <c r="Q402" s="1"/>
      <c r="R402" s="1"/>
      <c r="S402" s="1"/>
      <c r="T402" s="1"/>
      <c r="U402" s="1"/>
      <c r="V402" s="1"/>
      <c r="W402" s="1"/>
      <c r="X402" s="1"/>
    </row>
    <row r="403" spans="1:24" ht="14.25" customHeight="1" x14ac:dyDescent="0.2">
      <c r="A403" s="79"/>
      <c r="B403" s="76"/>
      <c r="C403" s="76"/>
      <c r="D403" s="78"/>
      <c r="E403" s="77"/>
      <c r="F403" s="77"/>
      <c r="G403" s="77"/>
      <c r="H403" s="77"/>
      <c r="I403" s="77"/>
      <c r="J403" s="97"/>
      <c r="K403" s="1"/>
      <c r="L403" s="1"/>
      <c r="M403" s="1"/>
      <c r="N403" s="1"/>
      <c r="O403" s="1"/>
      <c r="P403" s="1"/>
      <c r="Q403" s="1"/>
      <c r="R403" s="1"/>
      <c r="S403" s="1"/>
      <c r="T403" s="1"/>
      <c r="U403" s="1"/>
      <c r="V403" s="1"/>
      <c r="W403" s="1"/>
      <c r="X403" s="1"/>
    </row>
    <row r="404" spans="1:24" ht="14.25" customHeight="1" x14ac:dyDescent="0.2">
      <c r="A404" s="79"/>
      <c r="B404" s="76"/>
      <c r="C404" s="76"/>
      <c r="D404" s="78"/>
      <c r="E404" s="77"/>
      <c r="F404" s="77"/>
      <c r="G404" s="77"/>
      <c r="H404" s="77"/>
      <c r="I404" s="77"/>
      <c r="J404" s="97"/>
      <c r="K404" s="1"/>
      <c r="L404" s="1"/>
      <c r="M404" s="1"/>
      <c r="N404" s="1"/>
      <c r="O404" s="1"/>
      <c r="P404" s="1"/>
      <c r="Q404" s="1"/>
      <c r="R404" s="1"/>
      <c r="S404" s="1"/>
      <c r="T404" s="1"/>
      <c r="U404" s="1"/>
      <c r="V404" s="1"/>
      <c r="W404" s="1"/>
      <c r="X404" s="1"/>
    </row>
    <row r="405" spans="1:24" ht="14.25" customHeight="1" x14ac:dyDescent="0.2">
      <c r="A405" s="79"/>
      <c r="B405" s="76"/>
      <c r="C405" s="76"/>
      <c r="D405" s="78"/>
      <c r="E405" s="77"/>
      <c r="F405" s="77"/>
      <c r="G405" s="77"/>
      <c r="H405" s="77"/>
      <c r="I405" s="77"/>
      <c r="J405" s="97"/>
      <c r="K405" s="1"/>
      <c r="L405" s="1"/>
      <c r="M405" s="1"/>
      <c r="N405" s="1"/>
      <c r="O405" s="1"/>
      <c r="P405" s="1"/>
      <c r="Q405" s="1"/>
      <c r="R405" s="1"/>
      <c r="S405" s="1"/>
      <c r="T405" s="1"/>
      <c r="U405" s="1"/>
      <c r="V405" s="1"/>
      <c r="W405" s="1"/>
      <c r="X405" s="1"/>
    </row>
    <row r="406" spans="1:24" ht="14.25" customHeight="1" x14ac:dyDescent="0.2">
      <c r="A406" s="79"/>
      <c r="B406" s="76"/>
      <c r="C406" s="76"/>
      <c r="D406" s="78"/>
      <c r="E406" s="77"/>
      <c r="F406" s="77"/>
      <c r="G406" s="77"/>
      <c r="H406" s="77"/>
      <c r="I406" s="77"/>
      <c r="J406" s="97"/>
      <c r="K406" s="1"/>
      <c r="L406" s="1"/>
      <c r="M406" s="1"/>
      <c r="N406" s="1"/>
      <c r="O406" s="1"/>
      <c r="P406" s="1"/>
      <c r="Q406" s="1"/>
      <c r="R406" s="1"/>
      <c r="S406" s="1"/>
      <c r="T406" s="1"/>
      <c r="U406" s="1"/>
      <c r="V406" s="1"/>
      <c r="W406" s="1"/>
      <c r="X406" s="1"/>
    </row>
    <row r="407" spans="1:24" ht="14.25" customHeight="1" x14ac:dyDescent="0.2">
      <c r="A407" s="79"/>
      <c r="B407" s="76"/>
      <c r="C407" s="76"/>
      <c r="D407" s="78"/>
      <c r="E407" s="77"/>
      <c r="F407" s="77"/>
      <c r="G407" s="77"/>
      <c r="H407" s="77"/>
      <c r="I407" s="77"/>
      <c r="J407" s="97"/>
      <c r="K407" s="1"/>
      <c r="L407" s="1"/>
      <c r="M407" s="1"/>
      <c r="N407" s="1"/>
      <c r="O407" s="1"/>
      <c r="P407" s="1"/>
      <c r="Q407" s="1"/>
      <c r="R407" s="1"/>
      <c r="S407" s="1"/>
      <c r="T407" s="1"/>
      <c r="U407" s="1"/>
      <c r="V407" s="1"/>
      <c r="W407" s="1"/>
      <c r="X407" s="1"/>
    </row>
    <row r="408" spans="1:24" ht="14.25" customHeight="1" x14ac:dyDescent="0.2">
      <c r="A408" s="79"/>
      <c r="B408" s="76"/>
      <c r="C408" s="76"/>
      <c r="D408" s="78"/>
      <c r="E408" s="77"/>
      <c r="F408" s="77"/>
      <c r="G408" s="77"/>
      <c r="H408" s="77"/>
      <c r="I408" s="77"/>
      <c r="J408" s="97"/>
      <c r="K408" s="1"/>
      <c r="L408" s="1"/>
      <c r="M408" s="1"/>
      <c r="N408" s="1"/>
      <c r="O408" s="1"/>
      <c r="P408" s="1"/>
      <c r="Q408" s="1"/>
      <c r="R408" s="1"/>
      <c r="S408" s="1"/>
      <c r="T408" s="1"/>
      <c r="U408" s="1"/>
      <c r="V408" s="1"/>
      <c r="W408" s="1"/>
      <c r="X408" s="1"/>
    </row>
    <row r="409" spans="1:24" ht="14.25" customHeight="1" x14ac:dyDescent="0.2">
      <c r="A409" s="79"/>
      <c r="B409" s="76"/>
      <c r="C409" s="76"/>
      <c r="D409" s="78"/>
      <c r="E409" s="77"/>
      <c r="F409" s="77"/>
      <c r="G409" s="77"/>
      <c r="H409" s="77"/>
      <c r="I409" s="77"/>
      <c r="J409" s="97"/>
      <c r="K409" s="1"/>
      <c r="L409" s="1"/>
      <c r="M409" s="1"/>
      <c r="N409" s="1"/>
      <c r="O409" s="1"/>
      <c r="P409" s="1"/>
      <c r="Q409" s="1"/>
      <c r="R409" s="1"/>
      <c r="S409" s="1"/>
      <c r="T409" s="1"/>
      <c r="U409" s="1"/>
      <c r="V409" s="1"/>
      <c r="W409" s="1"/>
      <c r="X409" s="1"/>
    </row>
    <row r="410" spans="1:24" ht="14.25" customHeight="1" x14ac:dyDescent="0.2">
      <c r="A410" s="79"/>
      <c r="B410" s="76"/>
      <c r="C410" s="76"/>
      <c r="D410" s="78"/>
      <c r="E410" s="77"/>
      <c r="F410" s="77"/>
      <c r="G410" s="77"/>
      <c r="H410" s="77"/>
      <c r="I410" s="77"/>
      <c r="J410" s="97"/>
      <c r="K410" s="1"/>
      <c r="L410" s="1"/>
      <c r="M410" s="1"/>
      <c r="N410" s="1"/>
      <c r="O410" s="1"/>
      <c r="P410" s="1"/>
      <c r="Q410" s="1"/>
      <c r="R410" s="1"/>
      <c r="S410" s="1"/>
      <c r="T410" s="1"/>
      <c r="U410" s="1"/>
      <c r="V410" s="1"/>
      <c r="W410" s="1"/>
      <c r="X410" s="1"/>
    </row>
    <row r="411" spans="1:24" ht="14.25" customHeight="1" x14ac:dyDescent="0.2">
      <c r="A411" s="79"/>
      <c r="B411" s="76"/>
      <c r="C411" s="76"/>
      <c r="D411" s="78"/>
      <c r="E411" s="77"/>
      <c r="F411" s="77"/>
      <c r="G411" s="77"/>
      <c r="H411" s="77"/>
      <c r="I411" s="77"/>
      <c r="J411" s="97"/>
      <c r="K411" s="1"/>
      <c r="L411" s="1"/>
      <c r="M411" s="1"/>
      <c r="N411" s="1"/>
      <c r="O411" s="1"/>
      <c r="P411" s="1"/>
      <c r="Q411" s="1"/>
      <c r="R411" s="1"/>
      <c r="S411" s="1"/>
      <c r="T411" s="1"/>
      <c r="U411" s="1"/>
      <c r="V411" s="1"/>
      <c r="W411" s="1"/>
      <c r="X411" s="1"/>
    </row>
    <row r="412" spans="1:24" ht="14.25" customHeight="1" x14ac:dyDescent="0.2">
      <c r="A412" s="79"/>
      <c r="B412" s="76"/>
      <c r="C412" s="76"/>
      <c r="D412" s="78"/>
      <c r="E412" s="77"/>
      <c r="F412" s="77"/>
      <c r="G412" s="77"/>
      <c r="H412" s="77"/>
      <c r="I412" s="77"/>
      <c r="J412" s="97"/>
      <c r="K412" s="1"/>
      <c r="L412" s="1"/>
      <c r="M412" s="1"/>
      <c r="N412" s="1"/>
      <c r="O412" s="1"/>
      <c r="P412" s="1"/>
      <c r="Q412" s="1"/>
      <c r="R412" s="1"/>
      <c r="S412" s="1"/>
      <c r="T412" s="1"/>
      <c r="U412" s="1"/>
      <c r="V412" s="1"/>
      <c r="W412" s="1"/>
      <c r="X412" s="1"/>
    </row>
    <row r="413" spans="1:24" ht="14.25" customHeight="1" x14ac:dyDescent="0.2">
      <c r="A413" s="79"/>
      <c r="B413" s="76"/>
      <c r="C413" s="76"/>
      <c r="D413" s="78"/>
      <c r="E413" s="77"/>
      <c r="F413" s="77"/>
      <c r="G413" s="77"/>
      <c r="H413" s="77"/>
      <c r="I413" s="77"/>
      <c r="J413" s="97"/>
      <c r="K413" s="1"/>
      <c r="L413" s="1"/>
      <c r="M413" s="1"/>
      <c r="N413" s="1"/>
      <c r="O413" s="1"/>
      <c r="P413" s="1"/>
      <c r="Q413" s="1"/>
      <c r="R413" s="1"/>
      <c r="S413" s="1"/>
      <c r="T413" s="1"/>
      <c r="U413" s="1"/>
      <c r="V413" s="1"/>
      <c r="W413" s="1"/>
      <c r="X413" s="1"/>
    </row>
    <row r="414" spans="1:24" ht="14.25" customHeight="1" x14ac:dyDescent="0.2">
      <c r="A414" s="79"/>
      <c r="B414" s="76"/>
      <c r="C414" s="76"/>
      <c r="D414" s="78"/>
      <c r="E414" s="77"/>
      <c r="F414" s="77"/>
      <c r="G414" s="77"/>
      <c r="H414" s="77"/>
      <c r="I414" s="77"/>
      <c r="J414" s="97"/>
      <c r="K414" s="1"/>
      <c r="L414" s="1"/>
      <c r="M414" s="1"/>
      <c r="N414" s="1"/>
      <c r="O414" s="1"/>
      <c r="P414" s="1"/>
      <c r="Q414" s="1"/>
      <c r="R414" s="1"/>
      <c r="S414" s="1"/>
      <c r="T414" s="1"/>
      <c r="U414" s="1"/>
      <c r="V414" s="1"/>
      <c r="W414" s="1"/>
      <c r="X414" s="1"/>
    </row>
    <row r="415" spans="1:24" ht="14.25" customHeight="1" x14ac:dyDescent="0.2">
      <c r="A415" s="79"/>
      <c r="B415" s="76"/>
      <c r="C415" s="76"/>
      <c r="D415" s="78"/>
      <c r="E415" s="77"/>
      <c r="F415" s="77"/>
      <c r="G415" s="77"/>
      <c r="H415" s="77"/>
      <c r="I415" s="77"/>
      <c r="J415" s="97"/>
      <c r="K415" s="1"/>
      <c r="L415" s="1"/>
      <c r="M415" s="1"/>
      <c r="N415" s="1"/>
      <c r="O415" s="1"/>
      <c r="P415" s="1"/>
      <c r="Q415" s="1"/>
      <c r="R415" s="1"/>
      <c r="S415" s="1"/>
      <c r="T415" s="1"/>
      <c r="U415" s="1"/>
      <c r="V415" s="1"/>
      <c r="W415" s="1"/>
      <c r="X415" s="1"/>
    </row>
    <row r="416" spans="1:24" ht="14.25" customHeight="1" x14ac:dyDescent="0.2">
      <c r="A416" s="79"/>
      <c r="B416" s="76"/>
      <c r="C416" s="76"/>
      <c r="D416" s="78"/>
      <c r="E416" s="77"/>
      <c r="F416" s="77"/>
      <c r="G416" s="77"/>
      <c r="H416" s="77"/>
      <c r="I416" s="77"/>
      <c r="J416" s="97"/>
      <c r="K416" s="1"/>
      <c r="L416" s="1"/>
      <c r="M416" s="1"/>
      <c r="N416" s="1"/>
      <c r="O416" s="1"/>
      <c r="P416" s="1"/>
      <c r="Q416" s="1"/>
      <c r="R416" s="1"/>
      <c r="S416" s="1"/>
      <c r="T416" s="1"/>
      <c r="U416" s="1"/>
      <c r="V416" s="1"/>
      <c r="W416" s="1"/>
      <c r="X416" s="1"/>
    </row>
    <row r="417" spans="1:24" ht="14.25" customHeight="1" x14ac:dyDescent="0.2">
      <c r="A417" s="79"/>
      <c r="B417" s="76"/>
      <c r="C417" s="76"/>
      <c r="D417" s="78"/>
      <c r="E417" s="77"/>
      <c r="F417" s="77"/>
      <c r="G417" s="77"/>
      <c r="H417" s="77"/>
      <c r="I417" s="77"/>
      <c r="J417" s="97"/>
      <c r="K417" s="1"/>
      <c r="L417" s="1"/>
      <c r="M417" s="1"/>
      <c r="N417" s="1"/>
      <c r="O417" s="1"/>
      <c r="P417" s="1"/>
      <c r="Q417" s="1"/>
      <c r="R417" s="1"/>
      <c r="S417" s="1"/>
      <c r="T417" s="1"/>
      <c r="U417" s="1"/>
      <c r="V417" s="1"/>
      <c r="W417" s="1"/>
      <c r="X417" s="1"/>
    </row>
    <row r="418" spans="1:24" ht="14.25" customHeight="1" x14ac:dyDescent="0.2">
      <c r="A418" s="79"/>
      <c r="B418" s="76"/>
      <c r="C418" s="76"/>
      <c r="D418" s="78"/>
      <c r="E418" s="77"/>
      <c r="F418" s="77"/>
      <c r="G418" s="77"/>
      <c r="H418" s="77"/>
      <c r="I418" s="77"/>
      <c r="J418" s="97"/>
      <c r="K418" s="1"/>
      <c r="L418" s="1"/>
      <c r="M418" s="1"/>
      <c r="N418" s="1"/>
      <c r="O418" s="1"/>
      <c r="P418" s="1"/>
      <c r="Q418" s="1"/>
      <c r="R418" s="1"/>
      <c r="S418" s="1"/>
      <c r="T418" s="1"/>
      <c r="U418" s="1"/>
      <c r="V418" s="1"/>
      <c r="W418" s="1"/>
      <c r="X418" s="1"/>
    </row>
    <row r="419" spans="1:24" ht="14.25" customHeight="1" x14ac:dyDescent="0.2">
      <c r="A419" s="79"/>
      <c r="B419" s="76"/>
      <c r="C419" s="76"/>
      <c r="D419" s="78"/>
      <c r="E419" s="77"/>
      <c r="F419" s="77"/>
      <c r="G419" s="77"/>
      <c r="H419" s="77"/>
      <c r="I419" s="77"/>
      <c r="J419" s="97"/>
      <c r="K419" s="1"/>
      <c r="L419" s="1"/>
      <c r="M419" s="1"/>
      <c r="N419" s="1"/>
      <c r="O419" s="1"/>
      <c r="P419" s="1"/>
      <c r="Q419" s="1"/>
      <c r="R419" s="1"/>
      <c r="S419" s="1"/>
      <c r="T419" s="1"/>
      <c r="U419" s="1"/>
      <c r="V419" s="1"/>
      <c r="W419" s="1"/>
      <c r="X419" s="1"/>
    </row>
    <row r="420" spans="1:24" ht="14.25" customHeight="1" x14ac:dyDescent="0.2">
      <c r="A420" s="79"/>
      <c r="B420" s="76"/>
      <c r="C420" s="76"/>
      <c r="D420" s="78"/>
      <c r="E420" s="77"/>
      <c r="F420" s="77"/>
      <c r="G420" s="77"/>
      <c r="H420" s="77"/>
      <c r="I420" s="77"/>
      <c r="J420" s="97"/>
      <c r="K420" s="1"/>
      <c r="L420" s="1"/>
      <c r="M420" s="1"/>
      <c r="N420" s="1"/>
      <c r="O420" s="1"/>
      <c r="P420" s="1"/>
      <c r="Q420" s="1"/>
      <c r="R420" s="1"/>
      <c r="S420" s="1"/>
      <c r="T420" s="1"/>
      <c r="U420" s="1"/>
      <c r="V420" s="1"/>
      <c r="W420" s="1"/>
      <c r="X420" s="1"/>
    </row>
    <row r="421" spans="1:24" ht="14.25" customHeight="1" x14ac:dyDescent="0.2">
      <c r="A421" s="79"/>
      <c r="B421" s="76"/>
      <c r="C421" s="76"/>
      <c r="D421" s="78"/>
      <c r="E421" s="77"/>
      <c r="F421" s="77"/>
      <c r="G421" s="77"/>
      <c r="H421" s="77"/>
      <c r="I421" s="77"/>
      <c r="J421" s="97"/>
      <c r="K421" s="1"/>
      <c r="L421" s="1"/>
      <c r="M421" s="1"/>
      <c r="N421" s="1"/>
      <c r="O421" s="1"/>
      <c r="P421" s="1"/>
      <c r="Q421" s="1"/>
      <c r="R421" s="1"/>
      <c r="S421" s="1"/>
      <c r="T421" s="1"/>
      <c r="U421" s="1"/>
      <c r="V421" s="1"/>
      <c r="W421" s="1"/>
      <c r="X421" s="1"/>
    </row>
    <row r="422" spans="1:24" ht="14.25" customHeight="1" x14ac:dyDescent="0.2">
      <c r="A422" s="79"/>
      <c r="B422" s="76"/>
      <c r="C422" s="76"/>
      <c r="D422" s="78"/>
      <c r="E422" s="77"/>
      <c r="F422" s="77"/>
      <c r="G422" s="77"/>
      <c r="H422" s="77"/>
      <c r="I422" s="77"/>
      <c r="J422" s="97"/>
      <c r="K422" s="1"/>
      <c r="L422" s="1"/>
      <c r="M422" s="1"/>
      <c r="N422" s="1"/>
      <c r="O422" s="1"/>
      <c r="P422" s="1"/>
      <c r="Q422" s="1"/>
      <c r="R422" s="1"/>
      <c r="S422" s="1"/>
      <c r="T422" s="1"/>
      <c r="U422" s="1"/>
      <c r="V422" s="1"/>
      <c r="W422" s="1"/>
      <c r="X422" s="1"/>
    </row>
    <row r="423" spans="1:24" ht="14.25" customHeight="1" x14ac:dyDescent="0.2">
      <c r="A423" s="79"/>
      <c r="B423" s="76"/>
      <c r="C423" s="76"/>
      <c r="D423" s="78"/>
      <c r="E423" s="77"/>
      <c r="F423" s="77"/>
      <c r="G423" s="77"/>
      <c r="H423" s="77"/>
      <c r="I423" s="77"/>
      <c r="J423" s="97"/>
      <c r="K423" s="1"/>
      <c r="L423" s="1"/>
      <c r="M423" s="1"/>
      <c r="N423" s="1"/>
      <c r="O423" s="1"/>
      <c r="P423" s="1"/>
      <c r="Q423" s="1"/>
      <c r="R423" s="1"/>
      <c r="S423" s="1"/>
      <c r="T423" s="1"/>
      <c r="U423" s="1"/>
      <c r="V423" s="1"/>
      <c r="W423" s="1"/>
      <c r="X423" s="1"/>
    </row>
    <row r="424" spans="1:24" ht="14.25" customHeight="1" x14ac:dyDescent="0.2">
      <c r="A424" s="79"/>
      <c r="B424" s="76"/>
      <c r="C424" s="76"/>
      <c r="D424" s="78"/>
      <c r="E424" s="77"/>
      <c r="F424" s="77"/>
      <c r="G424" s="77"/>
      <c r="H424" s="77"/>
      <c r="I424" s="77"/>
      <c r="J424" s="97"/>
      <c r="K424" s="1"/>
      <c r="L424" s="1"/>
      <c r="M424" s="1"/>
      <c r="N424" s="1"/>
      <c r="O424" s="1"/>
      <c r="P424" s="1"/>
      <c r="Q424" s="1"/>
      <c r="R424" s="1"/>
      <c r="S424" s="1"/>
      <c r="T424" s="1"/>
      <c r="U424" s="1"/>
      <c r="V424" s="1"/>
      <c r="W424" s="1"/>
      <c r="X424" s="1"/>
    </row>
    <row r="425" spans="1:24" ht="14.25" customHeight="1" x14ac:dyDescent="0.2">
      <c r="A425" s="79"/>
      <c r="B425" s="76"/>
      <c r="C425" s="76"/>
      <c r="D425" s="78"/>
      <c r="E425" s="77"/>
      <c r="F425" s="77"/>
      <c r="G425" s="77"/>
      <c r="H425" s="77"/>
      <c r="I425" s="77"/>
      <c r="J425" s="97"/>
      <c r="K425" s="1"/>
      <c r="L425" s="1"/>
      <c r="M425" s="1"/>
      <c r="N425" s="1"/>
      <c r="O425" s="1"/>
      <c r="P425" s="1"/>
      <c r="Q425" s="1"/>
      <c r="R425" s="1"/>
      <c r="S425" s="1"/>
      <c r="T425" s="1"/>
      <c r="U425" s="1"/>
      <c r="V425" s="1"/>
      <c r="W425" s="1"/>
      <c r="X425" s="1"/>
    </row>
    <row r="426" spans="1:24" ht="14.25" customHeight="1" x14ac:dyDescent="0.2">
      <c r="A426" s="79"/>
      <c r="B426" s="76"/>
      <c r="C426" s="76"/>
      <c r="D426" s="78"/>
      <c r="E426" s="77"/>
      <c r="F426" s="77"/>
      <c r="G426" s="77"/>
      <c r="H426" s="77"/>
      <c r="I426" s="77"/>
      <c r="J426" s="97"/>
      <c r="K426" s="1"/>
      <c r="L426" s="1"/>
      <c r="M426" s="1"/>
      <c r="N426" s="1"/>
      <c r="O426" s="1"/>
      <c r="P426" s="1"/>
      <c r="Q426" s="1"/>
      <c r="R426" s="1"/>
      <c r="S426" s="1"/>
      <c r="T426" s="1"/>
      <c r="U426" s="1"/>
      <c r="V426" s="1"/>
      <c r="W426" s="1"/>
      <c r="X426" s="1"/>
    </row>
    <row r="427" spans="1:24" ht="14.25" customHeight="1" x14ac:dyDescent="0.2">
      <c r="A427" s="79"/>
      <c r="B427" s="76"/>
      <c r="C427" s="76"/>
      <c r="D427" s="78"/>
      <c r="E427" s="77"/>
      <c r="F427" s="77"/>
      <c r="G427" s="77"/>
      <c r="H427" s="77"/>
      <c r="I427" s="77"/>
      <c r="J427" s="97"/>
      <c r="K427" s="1"/>
      <c r="L427" s="1"/>
      <c r="M427" s="1"/>
      <c r="N427" s="1"/>
      <c r="O427" s="1"/>
      <c r="P427" s="1"/>
      <c r="Q427" s="1"/>
      <c r="R427" s="1"/>
      <c r="S427" s="1"/>
      <c r="T427" s="1"/>
      <c r="U427" s="1"/>
      <c r="V427" s="1"/>
      <c r="W427" s="1"/>
      <c r="X427" s="1"/>
    </row>
    <row r="428" spans="1:24" ht="14.25" customHeight="1" x14ac:dyDescent="0.2">
      <c r="A428" s="79"/>
      <c r="B428" s="76"/>
      <c r="C428" s="76"/>
      <c r="D428" s="78"/>
      <c r="E428" s="77"/>
      <c r="F428" s="77"/>
      <c r="G428" s="77"/>
      <c r="H428" s="77"/>
      <c r="I428" s="77"/>
      <c r="J428" s="97"/>
      <c r="K428" s="1"/>
      <c r="L428" s="1"/>
      <c r="M428" s="1"/>
      <c r="N428" s="1"/>
      <c r="O428" s="1"/>
      <c r="P428" s="1"/>
      <c r="Q428" s="1"/>
      <c r="R428" s="1"/>
      <c r="S428" s="1"/>
      <c r="T428" s="1"/>
      <c r="U428" s="1"/>
      <c r="V428" s="1"/>
      <c r="W428" s="1"/>
      <c r="X428" s="1"/>
    </row>
    <row r="429" spans="1:24" ht="14.25" customHeight="1" x14ac:dyDescent="0.2">
      <c r="A429" s="79"/>
      <c r="B429" s="76"/>
      <c r="C429" s="76"/>
      <c r="D429" s="78"/>
      <c r="E429" s="77"/>
      <c r="F429" s="77"/>
      <c r="G429" s="77"/>
      <c r="H429" s="77"/>
      <c r="I429" s="77"/>
      <c r="J429" s="97"/>
      <c r="K429" s="1"/>
      <c r="L429" s="1"/>
      <c r="M429" s="1"/>
      <c r="N429" s="1"/>
      <c r="O429" s="1"/>
      <c r="P429" s="1"/>
      <c r="Q429" s="1"/>
      <c r="R429" s="1"/>
      <c r="S429" s="1"/>
      <c r="T429" s="1"/>
      <c r="U429" s="1"/>
      <c r="V429" s="1"/>
      <c r="W429" s="1"/>
      <c r="X429" s="1"/>
    </row>
    <row r="430" spans="1:24" ht="14.25" customHeight="1" x14ac:dyDescent="0.2">
      <c r="A430" s="79"/>
      <c r="B430" s="76"/>
      <c r="C430" s="76"/>
      <c r="D430" s="78"/>
      <c r="E430" s="77"/>
      <c r="F430" s="77"/>
      <c r="G430" s="77"/>
      <c r="H430" s="77"/>
      <c r="I430" s="77"/>
      <c r="J430" s="97"/>
      <c r="K430" s="1"/>
      <c r="L430" s="1"/>
      <c r="M430" s="1"/>
      <c r="N430" s="1"/>
      <c r="O430" s="1"/>
      <c r="P430" s="1"/>
      <c r="Q430" s="1"/>
      <c r="R430" s="1"/>
      <c r="S430" s="1"/>
      <c r="T430" s="1"/>
      <c r="U430" s="1"/>
      <c r="V430" s="1"/>
      <c r="W430" s="1"/>
      <c r="X430" s="1"/>
    </row>
    <row r="431" spans="1:24" ht="14.25" customHeight="1" x14ac:dyDescent="0.2">
      <c r="A431" s="79"/>
      <c r="B431" s="76"/>
      <c r="C431" s="76"/>
      <c r="D431" s="78"/>
      <c r="E431" s="77"/>
      <c r="F431" s="77"/>
      <c r="G431" s="77"/>
      <c r="H431" s="77"/>
      <c r="I431" s="77"/>
      <c r="J431" s="97"/>
      <c r="K431" s="1"/>
      <c r="L431" s="1"/>
      <c r="M431" s="1"/>
      <c r="N431" s="1"/>
      <c r="O431" s="1"/>
      <c r="P431" s="1"/>
      <c r="Q431" s="1"/>
      <c r="R431" s="1"/>
      <c r="S431" s="1"/>
      <c r="T431" s="1"/>
      <c r="U431" s="1"/>
      <c r="V431" s="1"/>
      <c r="W431" s="1"/>
      <c r="X431" s="1"/>
    </row>
    <row r="432" spans="1:24" ht="14.25" customHeight="1" x14ac:dyDescent="0.2">
      <c r="A432" s="79"/>
      <c r="B432" s="76"/>
      <c r="C432" s="76"/>
      <c r="D432" s="78"/>
      <c r="E432" s="77"/>
      <c r="F432" s="77"/>
      <c r="G432" s="77"/>
      <c r="H432" s="77"/>
      <c r="I432" s="77"/>
      <c r="J432" s="97"/>
      <c r="K432" s="1"/>
      <c r="L432" s="1"/>
      <c r="M432" s="1"/>
      <c r="N432" s="1"/>
      <c r="O432" s="1"/>
      <c r="P432" s="1"/>
      <c r="Q432" s="1"/>
      <c r="R432" s="1"/>
      <c r="S432" s="1"/>
      <c r="T432" s="1"/>
      <c r="U432" s="1"/>
      <c r="V432" s="1"/>
      <c r="W432" s="1"/>
      <c r="X432" s="1"/>
    </row>
    <row r="433" spans="1:24" ht="14.25" customHeight="1" x14ac:dyDescent="0.2">
      <c r="A433" s="79"/>
      <c r="B433" s="76"/>
      <c r="C433" s="76"/>
      <c r="D433" s="78"/>
      <c r="E433" s="77"/>
      <c r="F433" s="77"/>
      <c r="G433" s="77"/>
      <c r="H433" s="77"/>
      <c r="I433" s="77"/>
      <c r="J433" s="97"/>
      <c r="K433" s="1"/>
      <c r="L433" s="1"/>
      <c r="M433" s="1"/>
      <c r="N433" s="1"/>
      <c r="O433" s="1"/>
      <c r="P433" s="1"/>
      <c r="Q433" s="1"/>
      <c r="R433" s="1"/>
      <c r="S433" s="1"/>
      <c r="T433" s="1"/>
      <c r="U433" s="1"/>
      <c r="V433" s="1"/>
      <c r="W433" s="1"/>
      <c r="X433" s="1"/>
    </row>
    <row r="434" spans="1:24" ht="14.25" customHeight="1" x14ac:dyDescent="0.2">
      <c r="A434" s="79"/>
      <c r="B434" s="76"/>
      <c r="C434" s="76"/>
      <c r="D434" s="78"/>
      <c r="E434" s="77"/>
      <c r="F434" s="77"/>
      <c r="G434" s="77"/>
      <c r="H434" s="77"/>
      <c r="I434" s="77"/>
      <c r="J434" s="97"/>
      <c r="K434" s="1"/>
      <c r="L434" s="1"/>
      <c r="M434" s="1"/>
      <c r="N434" s="1"/>
      <c r="O434" s="1"/>
      <c r="P434" s="1"/>
      <c r="Q434" s="1"/>
      <c r="R434" s="1"/>
      <c r="S434" s="1"/>
      <c r="T434" s="1"/>
      <c r="U434" s="1"/>
      <c r="V434" s="1"/>
      <c r="W434" s="1"/>
      <c r="X434" s="1"/>
    </row>
    <row r="435" spans="1:24" ht="14.25" customHeight="1" x14ac:dyDescent="0.2">
      <c r="A435" s="79"/>
      <c r="B435" s="76"/>
      <c r="C435" s="76"/>
      <c r="D435" s="78"/>
      <c r="E435" s="77"/>
      <c r="F435" s="77"/>
      <c r="G435" s="77"/>
      <c r="H435" s="77"/>
      <c r="I435" s="77"/>
      <c r="J435" s="97"/>
      <c r="K435" s="1"/>
      <c r="L435" s="1"/>
      <c r="M435" s="1"/>
      <c r="N435" s="1"/>
      <c r="O435" s="1"/>
      <c r="P435" s="1"/>
      <c r="Q435" s="1"/>
      <c r="R435" s="1"/>
      <c r="S435" s="1"/>
      <c r="T435" s="1"/>
      <c r="U435" s="1"/>
      <c r="V435" s="1"/>
      <c r="W435" s="1"/>
      <c r="X435" s="1"/>
    </row>
    <row r="436" spans="1:24" ht="14.25" customHeight="1" x14ac:dyDescent="0.2">
      <c r="A436" s="79"/>
      <c r="B436" s="76"/>
      <c r="C436" s="76"/>
      <c r="D436" s="78"/>
      <c r="E436" s="77"/>
      <c r="F436" s="77"/>
      <c r="G436" s="77"/>
      <c r="H436" s="77"/>
      <c r="I436" s="77"/>
      <c r="J436" s="97"/>
      <c r="K436" s="1"/>
      <c r="L436" s="1"/>
      <c r="M436" s="1"/>
      <c r="N436" s="1"/>
      <c r="O436" s="1"/>
      <c r="P436" s="1"/>
      <c r="Q436" s="1"/>
      <c r="R436" s="1"/>
      <c r="S436" s="1"/>
      <c r="T436" s="1"/>
      <c r="U436" s="1"/>
      <c r="V436" s="1"/>
      <c r="W436" s="1"/>
      <c r="X436" s="1"/>
    </row>
    <row r="437" spans="1:24" ht="14.25" customHeight="1" x14ac:dyDescent="0.2">
      <c r="A437" s="79"/>
      <c r="B437" s="76"/>
      <c r="C437" s="76"/>
      <c r="D437" s="78"/>
      <c r="E437" s="77"/>
      <c r="F437" s="77"/>
      <c r="G437" s="77"/>
      <c r="H437" s="77"/>
      <c r="I437" s="77"/>
      <c r="J437" s="97"/>
      <c r="K437" s="1"/>
      <c r="L437" s="1"/>
      <c r="M437" s="1"/>
      <c r="N437" s="1"/>
      <c r="O437" s="1"/>
      <c r="P437" s="1"/>
      <c r="Q437" s="1"/>
      <c r="R437" s="1"/>
      <c r="S437" s="1"/>
      <c r="T437" s="1"/>
      <c r="U437" s="1"/>
      <c r="V437" s="1"/>
      <c r="W437" s="1"/>
      <c r="X437" s="1"/>
    </row>
    <row r="438" spans="1:24" ht="14.25" customHeight="1" x14ac:dyDescent="0.2">
      <c r="A438" s="79"/>
      <c r="B438" s="76"/>
      <c r="C438" s="76"/>
      <c r="D438" s="78"/>
      <c r="E438" s="77"/>
      <c r="F438" s="77"/>
      <c r="G438" s="77"/>
      <c r="H438" s="77"/>
      <c r="I438" s="77"/>
      <c r="J438" s="97"/>
      <c r="K438" s="1"/>
      <c r="L438" s="1"/>
      <c r="M438" s="1"/>
      <c r="N438" s="1"/>
      <c r="O438" s="1"/>
      <c r="P438" s="1"/>
      <c r="Q438" s="1"/>
      <c r="R438" s="1"/>
      <c r="S438" s="1"/>
      <c r="T438" s="1"/>
      <c r="U438" s="1"/>
      <c r="V438" s="1"/>
      <c r="W438" s="1"/>
      <c r="X438" s="1"/>
    </row>
    <row r="439" spans="1:24" ht="14.25" customHeight="1" x14ac:dyDescent="0.2">
      <c r="A439" s="79"/>
      <c r="B439" s="76"/>
      <c r="C439" s="76"/>
      <c r="D439" s="78"/>
      <c r="E439" s="77"/>
      <c r="F439" s="77"/>
      <c r="G439" s="77"/>
      <c r="H439" s="77"/>
      <c r="I439" s="77"/>
      <c r="J439" s="97"/>
      <c r="K439" s="1"/>
      <c r="L439" s="1"/>
      <c r="M439" s="1"/>
      <c r="N439" s="1"/>
      <c r="O439" s="1"/>
      <c r="P439" s="1"/>
      <c r="Q439" s="1"/>
      <c r="R439" s="1"/>
      <c r="S439" s="1"/>
      <c r="T439" s="1"/>
      <c r="U439" s="1"/>
      <c r="V439" s="1"/>
      <c r="W439" s="1"/>
      <c r="X439" s="1"/>
    </row>
    <row r="440" spans="1:24" ht="14.25" customHeight="1" x14ac:dyDescent="0.2">
      <c r="A440" s="79"/>
      <c r="B440" s="76"/>
      <c r="C440" s="76"/>
      <c r="D440" s="78"/>
      <c r="E440" s="77"/>
      <c r="F440" s="77"/>
      <c r="G440" s="77"/>
      <c r="H440" s="77"/>
      <c r="I440" s="77"/>
      <c r="J440" s="97"/>
      <c r="K440" s="1"/>
      <c r="L440" s="1"/>
      <c r="M440" s="1"/>
      <c r="N440" s="1"/>
      <c r="O440" s="1"/>
      <c r="P440" s="1"/>
      <c r="Q440" s="1"/>
      <c r="R440" s="1"/>
      <c r="S440" s="1"/>
      <c r="T440" s="1"/>
      <c r="U440" s="1"/>
      <c r="V440" s="1"/>
      <c r="W440" s="1"/>
      <c r="X440" s="1"/>
    </row>
    <row r="441" spans="1:24" ht="14.25" customHeight="1" x14ac:dyDescent="0.2">
      <c r="A441" s="79"/>
      <c r="B441" s="76"/>
      <c r="C441" s="76"/>
      <c r="D441" s="78"/>
      <c r="E441" s="77"/>
      <c r="F441" s="77"/>
      <c r="G441" s="77"/>
      <c r="H441" s="77"/>
      <c r="I441" s="77"/>
      <c r="J441" s="97"/>
      <c r="K441" s="1"/>
      <c r="L441" s="1"/>
      <c r="M441" s="1"/>
      <c r="N441" s="1"/>
      <c r="O441" s="1"/>
      <c r="P441" s="1"/>
      <c r="Q441" s="1"/>
      <c r="R441" s="1"/>
      <c r="S441" s="1"/>
      <c r="T441" s="1"/>
      <c r="U441" s="1"/>
      <c r="V441" s="1"/>
      <c r="W441" s="1"/>
      <c r="X441" s="1"/>
    </row>
    <row r="442" spans="1:24" ht="14.25" customHeight="1" x14ac:dyDescent="0.2">
      <c r="A442" s="79"/>
      <c r="B442" s="76"/>
      <c r="C442" s="76"/>
      <c r="D442" s="78"/>
      <c r="E442" s="77"/>
      <c r="F442" s="77"/>
      <c r="G442" s="77"/>
      <c r="H442" s="77"/>
      <c r="I442" s="77"/>
      <c r="J442" s="97"/>
      <c r="K442" s="1"/>
      <c r="L442" s="1"/>
      <c r="M442" s="1"/>
      <c r="N442" s="1"/>
      <c r="O442" s="1"/>
      <c r="P442" s="1"/>
      <c r="Q442" s="1"/>
      <c r="R442" s="1"/>
      <c r="S442" s="1"/>
      <c r="T442" s="1"/>
      <c r="U442" s="1"/>
      <c r="V442" s="1"/>
      <c r="W442" s="1"/>
      <c r="X442" s="1"/>
    </row>
    <row r="443" spans="1:24" ht="14.25" customHeight="1" x14ac:dyDescent="0.2">
      <c r="A443" s="79"/>
      <c r="B443" s="76"/>
      <c r="C443" s="76"/>
      <c r="D443" s="78"/>
      <c r="E443" s="77"/>
      <c r="F443" s="77"/>
      <c r="G443" s="77"/>
      <c r="H443" s="77"/>
      <c r="I443" s="77"/>
      <c r="J443" s="97"/>
      <c r="K443" s="1"/>
      <c r="L443" s="1"/>
      <c r="M443" s="1"/>
      <c r="N443" s="1"/>
      <c r="O443" s="1"/>
      <c r="P443" s="1"/>
      <c r="Q443" s="1"/>
      <c r="R443" s="1"/>
      <c r="S443" s="1"/>
      <c r="T443" s="1"/>
      <c r="U443" s="1"/>
      <c r="V443" s="1"/>
      <c r="W443" s="1"/>
      <c r="X443" s="1"/>
    </row>
    <row r="444" spans="1:24" ht="14.25" customHeight="1" x14ac:dyDescent="0.2">
      <c r="A444" s="79"/>
      <c r="B444" s="76"/>
      <c r="C444" s="76"/>
      <c r="D444" s="78"/>
      <c r="E444" s="77"/>
      <c r="F444" s="77"/>
      <c r="G444" s="77"/>
      <c r="H444" s="77"/>
      <c r="I444" s="77"/>
      <c r="J444" s="97"/>
      <c r="K444" s="1"/>
      <c r="L444" s="1"/>
      <c r="M444" s="1"/>
      <c r="N444" s="1"/>
      <c r="O444" s="1"/>
      <c r="P444" s="1"/>
      <c r="Q444" s="1"/>
      <c r="R444" s="1"/>
      <c r="S444" s="1"/>
      <c r="T444" s="1"/>
      <c r="U444" s="1"/>
      <c r="V444" s="1"/>
      <c r="W444" s="1"/>
      <c r="X444" s="1"/>
    </row>
    <row r="445" spans="1:24" ht="14.25" customHeight="1" x14ac:dyDescent="0.2">
      <c r="A445" s="79"/>
      <c r="B445" s="76"/>
      <c r="C445" s="76"/>
      <c r="D445" s="78"/>
      <c r="E445" s="77"/>
      <c r="F445" s="77"/>
      <c r="G445" s="77"/>
      <c r="H445" s="77"/>
      <c r="I445" s="77"/>
      <c r="J445" s="97"/>
      <c r="K445" s="1"/>
      <c r="L445" s="1"/>
      <c r="M445" s="1"/>
      <c r="N445" s="1"/>
      <c r="O445" s="1"/>
      <c r="P445" s="1"/>
      <c r="Q445" s="1"/>
      <c r="R445" s="1"/>
      <c r="S445" s="1"/>
      <c r="T445" s="1"/>
      <c r="U445" s="1"/>
      <c r="V445" s="1"/>
      <c r="W445" s="1"/>
      <c r="X445" s="1"/>
    </row>
    <row r="446" spans="1:24" ht="14.25" customHeight="1" x14ac:dyDescent="0.2">
      <c r="A446" s="79"/>
      <c r="B446" s="76"/>
      <c r="C446" s="76"/>
      <c r="D446" s="78"/>
      <c r="E446" s="77"/>
      <c r="F446" s="77"/>
      <c r="G446" s="77"/>
      <c r="H446" s="77"/>
      <c r="I446" s="77"/>
      <c r="J446" s="97"/>
      <c r="K446" s="1"/>
      <c r="L446" s="1"/>
      <c r="M446" s="1"/>
      <c r="N446" s="1"/>
      <c r="O446" s="1"/>
      <c r="P446" s="1"/>
      <c r="Q446" s="1"/>
      <c r="R446" s="1"/>
      <c r="S446" s="1"/>
      <c r="T446" s="1"/>
      <c r="U446" s="1"/>
      <c r="V446" s="1"/>
      <c r="W446" s="1"/>
      <c r="X446" s="1"/>
    </row>
    <row r="447" spans="1:24" ht="14.25" customHeight="1" x14ac:dyDescent="0.2">
      <c r="A447" s="79"/>
      <c r="B447" s="76"/>
      <c r="C447" s="76"/>
      <c r="D447" s="78"/>
      <c r="E447" s="77"/>
      <c r="F447" s="77"/>
      <c r="G447" s="77"/>
      <c r="H447" s="77"/>
      <c r="I447" s="77"/>
      <c r="J447" s="97"/>
      <c r="K447" s="1"/>
      <c r="L447" s="1"/>
      <c r="M447" s="1"/>
      <c r="N447" s="1"/>
      <c r="O447" s="1"/>
      <c r="P447" s="1"/>
      <c r="Q447" s="1"/>
      <c r="R447" s="1"/>
      <c r="S447" s="1"/>
      <c r="T447" s="1"/>
      <c r="U447" s="1"/>
      <c r="V447" s="1"/>
      <c r="W447" s="1"/>
      <c r="X447" s="1"/>
    </row>
    <row r="448" spans="1:24" ht="14.25" customHeight="1" x14ac:dyDescent="0.2">
      <c r="A448" s="79"/>
      <c r="B448" s="76"/>
      <c r="C448" s="76"/>
      <c r="D448" s="78"/>
      <c r="E448" s="77"/>
      <c r="F448" s="77"/>
      <c r="G448" s="77"/>
      <c r="H448" s="77"/>
      <c r="I448" s="77"/>
      <c r="J448" s="97"/>
      <c r="K448" s="1"/>
      <c r="L448" s="1"/>
      <c r="M448" s="1"/>
      <c r="N448" s="1"/>
      <c r="O448" s="1"/>
      <c r="P448" s="1"/>
      <c r="Q448" s="1"/>
      <c r="R448" s="1"/>
      <c r="S448" s="1"/>
      <c r="T448" s="1"/>
      <c r="U448" s="1"/>
      <c r="V448" s="1"/>
      <c r="W448" s="1"/>
      <c r="X448" s="1"/>
    </row>
    <row r="449" spans="1:24" ht="14.25" customHeight="1" x14ac:dyDescent="0.2">
      <c r="A449" s="79"/>
      <c r="B449" s="76"/>
      <c r="C449" s="76"/>
      <c r="D449" s="78"/>
      <c r="E449" s="77"/>
      <c r="F449" s="77"/>
      <c r="G449" s="77"/>
      <c r="H449" s="77"/>
      <c r="I449" s="77"/>
      <c r="J449" s="97"/>
      <c r="K449" s="1"/>
      <c r="L449" s="1"/>
      <c r="M449" s="1"/>
      <c r="N449" s="1"/>
      <c r="O449" s="1"/>
      <c r="P449" s="1"/>
      <c r="Q449" s="1"/>
      <c r="R449" s="1"/>
      <c r="S449" s="1"/>
      <c r="T449" s="1"/>
      <c r="U449" s="1"/>
      <c r="V449" s="1"/>
      <c r="W449" s="1"/>
      <c r="X449" s="1"/>
    </row>
    <row r="450" spans="1:24" ht="14.25" customHeight="1" x14ac:dyDescent="0.2">
      <c r="A450" s="79"/>
      <c r="B450" s="76"/>
      <c r="C450" s="76"/>
      <c r="D450" s="78"/>
      <c r="E450" s="77"/>
      <c r="F450" s="77"/>
      <c r="G450" s="77"/>
      <c r="H450" s="77"/>
      <c r="I450" s="77"/>
      <c r="J450" s="97"/>
      <c r="K450" s="1"/>
      <c r="L450" s="1"/>
      <c r="M450" s="1"/>
      <c r="N450" s="1"/>
      <c r="O450" s="1"/>
      <c r="P450" s="1"/>
      <c r="Q450" s="1"/>
      <c r="R450" s="1"/>
      <c r="S450" s="1"/>
      <c r="T450" s="1"/>
      <c r="U450" s="1"/>
      <c r="V450" s="1"/>
      <c r="W450" s="1"/>
      <c r="X450" s="1"/>
    </row>
    <row r="451" spans="1:24" ht="14.25" customHeight="1" x14ac:dyDescent="0.2">
      <c r="A451" s="79"/>
      <c r="B451" s="76"/>
      <c r="C451" s="76"/>
      <c r="D451" s="78"/>
      <c r="E451" s="77"/>
      <c r="F451" s="77"/>
      <c r="G451" s="77"/>
      <c r="H451" s="77"/>
      <c r="I451" s="77"/>
      <c r="J451" s="97"/>
      <c r="K451" s="1"/>
      <c r="L451" s="1"/>
      <c r="M451" s="1"/>
      <c r="N451" s="1"/>
      <c r="O451" s="1"/>
      <c r="P451" s="1"/>
      <c r="Q451" s="1"/>
      <c r="R451" s="1"/>
      <c r="S451" s="1"/>
      <c r="T451" s="1"/>
      <c r="U451" s="1"/>
      <c r="V451" s="1"/>
      <c r="W451" s="1"/>
      <c r="X451" s="1"/>
    </row>
    <row r="452" spans="1:24" ht="14.25" customHeight="1" x14ac:dyDescent="0.2">
      <c r="A452" s="79"/>
      <c r="B452" s="76"/>
      <c r="C452" s="76"/>
      <c r="D452" s="78"/>
      <c r="E452" s="77"/>
      <c r="F452" s="77"/>
      <c r="G452" s="77"/>
      <c r="H452" s="77"/>
      <c r="I452" s="77"/>
      <c r="J452" s="97"/>
      <c r="K452" s="1"/>
      <c r="L452" s="1"/>
      <c r="M452" s="1"/>
      <c r="N452" s="1"/>
      <c r="O452" s="1"/>
      <c r="P452" s="1"/>
      <c r="Q452" s="1"/>
      <c r="R452" s="1"/>
      <c r="S452" s="1"/>
      <c r="T452" s="1"/>
      <c r="U452" s="1"/>
      <c r="V452" s="1"/>
      <c r="W452" s="1"/>
      <c r="X452" s="1"/>
    </row>
    <row r="453" spans="1:24" ht="14.25" customHeight="1" x14ac:dyDescent="0.2">
      <c r="A453" s="79"/>
      <c r="B453" s="76"/>
      <c r="C453" s="76"/>
      <c r="D453" s="78"/>
      <c r="E453" s="77"/>
      <c r="F453" s="77"/>
      <c r="G453" s="77"/>
      <c r="H453" s="77"/>
      <c r="I453" s="77"/>
      <c r="J453" s="97"/>
      <c r="K453" s="1"/>
      <c r="L453" s="1"/>
      <c r="M453" s="1"/>
      <c r="N453" s="1"/>
      <c r="O453" s="1"/>
      <c r="P453" s="1"/>
      <c r="Q453" s="1"/>
      <c r="R453" s="1"/>
      <c r="S453" s="1"/>
      <c r="T453" s="1"/>
      <c r="U453" s="1"/>
      <c r="V453" s="1"/>
      <c r="W453" s="1"/>
      <c r="X453" s="1"/>
    </row>
    <row r="454" spans="1:24" ht="14.25" customHeight="1" x14ac:dyDescent="0.2">
      <c r="A454" s="79"/>
      <c r="B454" s="76"/>
      <c r="C454" s="76"/>
      <c r="D454" s="78"/>
      <c r="E454" s="77"/>
      <c r="F454" s="77"/>
      <c r="G454" s="77"/>
      <c r="H454" s="77"/>
      <c r="I454" s="77"/>
      <c r="J454" s="97"/>
      <c r="K454" s="1"/>
      <c r="L454" s="1"/>
      <c r="M454" s="1"/>
      <c r="N454" s="1"/>
      <c r="O454" s="1"/>
      <c r="P454" s="1"/>
      <c r="Q454" s="1"/>
      <c r="R454" s="1"/>
      <c r="S454" s="1"/>
      <c r="T454" s="1"/>
      <c r="U454" s="1"/>
      <c r="V454" s="1"/>
      <c r="W454" s="1"/>
      <c r="X454" s="1"/>
    </row>
    <row r="455" spans="1:24" ht="14.25" customHeight="1" x14ac:dyDescent="0.2">
      <c r="A455" s="79"/>
      <c r="B455" s="76"/>
      <c r="C455" s="76"/>
      <c r="D455" s="78"/>
      <c r="E455" s="77"/>
      <c r="F455" s="77"/>
      <c r="G455" s="77"/>
      <c r="H455" s="77"/>
      <c r="I455" s="77"/>
      <c r="J455" s="97"/>
      <c r="K455" s="1"/>
      <c r="L455" s="1"/>
      <c r="M455" s="1"/>
      <c r="N455" s="1"/>
      <c r="O455" s="1"/>
      <c r="P455" s="1"/>
      <c r="Q455" s="1"/>
      <c r="R455" s="1"/>
      <c r="S455" s="1"/>
      <c r="T455" s="1"/>
      <c r="U455" s="1"/>
      <c r="V455" s="1"/>
      <c r="W455" s="1"/>
      <c r="X455" s="1"/>
    </row>
    <row r="456" spans="1:24" ht="14.25" customHeight="1" x14ac:dyDescent="0.2">
      <c r="A456" s="79"/>
      <c r="B456" s="76"/>
      <c r="C456" s="76"/>
      <c r="D456" s="78"/>
      <c r="E456" s="77"/>
      <c r="F456" s="77"/>
      <c r="G456" s="77"/>
      <c r="H456" s="77"/>
      <c r="I456" s="77"/>
      <c r="J456" s="97"/>
      <c r="K456" s="1"/>
      <c r="L456" s="1"/>
      <c r="M456" s="1"/>
      <c r="N456" s="1"/>
      <c r="O456" s="1"/>
      <c r="P456" s="1"/>
      <c r="Q456" s="1"/>
      <c r="R456" s="1"/>
      <c r="S456" s="1"/>
      <c r="T456" s="1"/>
      <c r="U456" s="1"/>
      <c r="V456" s="1"/>
      <c r="W456" s="1"/>
      <c r="X456" s="1"/>
    </row>
    <row r="457" spans="1:24" ht="14.25" customHeight="1" x14ac:dyDescent="0.2">
      <c r="A457" s="79"/>
      <c r="B457" s="76"/>
      <c r="C457" s="76"/>
      <c r="D457" s="78"/>
      <c r="E457" s="77"/>
      <c r="F457" s="77"/>
      <c r="G457" s="77"/>
      <c r="H457" s="77"/>
      <c r="I457" s="77"/>
      <c r="J457" s="97"/>
      <c r="K457" s="1"/>
      <c r="L457" s="1"/>
      <c r="M457" s="1"/>
      <c r="N457" s="1"/>
      <c r="O457" s="1"/>
      <c r="P457" s="1"/>
      <c r="Q457" s="1"/>
      <c r="R457" s="1"/>
      <c r="S457" s="1"/>
      <c r="T457" s="1"/>
      <c r="U457" s="1"/>
      <c r="V457" s="1"/>
      <c r="W457" s="1"/>
      <c r="X457" s="1"/>
    </row>
    <row r="458" spans="1:24" ht="14.25" customHeight="1" x14ac:dyDescent="0.2">
      <c r="A458" s="79"/>
      <c r="B458" s="76"/>
      <c r="C458" s="76"/>
      <c r="D458" s="78"/>
      <c r="E458" s="77"/>
      <c r="F458" s="77"/>
      <c r="G458" s="77"/>
      <c r="H458" s="77"/>
      <c r="I458" s="77"/>
      <c r="J458" s="97"/>
      <c r="K458" s="1"/>
      <c r="L458" s="1"/>
      <c r="M458" s="1"/>
      <c r="N458" s="1"/>
      <c r="O458" s="1"/>
      <c r="P458" s="1"/>
      <c r="Q458" s="1"/>
      <c r="R458" s="1"/>
      <c r="S458" s="1"/>
      <c r="T458" s="1"/>
      <c r="U458" s="1"/>
      <c r="V458" s="1"/>
      <c r="W458" s="1"/>
      <c r="X458" s="1"/>
    </row>
    <row r="459" spans="1:24" ht="14.25" customHeight="1" x14ac:dyDescent="0.2">
      <c r="A459" s="79"/>
      <c r="B459" s="76"/>
      <c r="C459" s="76"/>
      <c r="D459" s="78"/>
      <c r="E459" s="77"/>
      <c r="F459" s="77"/>
      <c r="G459" s="77"/>
      <c r="H459" s="77"/>
      <c r="I459" s="77"/>
      <c r="J459" s="97"/>
      <c r="K459" s="1"/>
      <c r="L459" s="1"/>
      <c r="M459" s="1"/>
      <c r="N459" s="1"/>
      <c r="O459" s="1"/>
      <c r="P459" s="1"/>
      <c r="Q459" s="1"/>
      <c r="R459" s="1"/>
      <c r="S459" s="1"/>
      <c r="T459" s="1"/>
      <c r="U459" s="1"/>
      <c r="V459" s="1"/>
      <c r="W459" s="1"/>
      <c r="X459" s="1"/>
    </row>
    <row r="460" spans="1:24" ht="14.25" customHeight="1" x14ac:dyDescent="0.2">
      <c r="A460" s="79"/>
      <c r="B460" s="76"/>
      <c r="C460" s="76"/>
      <c r="D460" s="78"/>
      <c r="E460" s="77"/>
      <c r="F460" s="77"/>
      <c r="G460" s="77"/>
      <c r="H460" s="77"/>
      <c r="I460" s="77"/>
      <c r="J460" s="97"/>
      <c r="K460" s="1"/>
      <c r="L460" s="1"/>
      <c r="M460" s="1"/>
      <c r="N460" s="1"/>
      <c r="O460" s="1"/>
      <c r="P460" s="1"/>
      <c r="Q460" s="1"/>
      <c r="R460" s="1"/>
      <c r="S460" s="1"/>
      <c r="T460" s="1"/>
      <c r="U460" s="1"/>
      <c r="V460" s="1"/>
      <c r="W460" s="1"/>
      <c r="X460" s="1"/>
    </row>
    <row r="461" spans="1:24" ht="14.25" customHeight="1" x14ac:dyDescent="0.2">
      <c r="A461" s="79"/>
      <c r="B461" s="76"/>
      <c r="C461" s="76"/>
      <c r="D461" s="78"/>
      <c r="E461" s="77"/>
      <c r="F461" s="77"/>
      <c r="G461" s="77"/>
      <c r="H461" s="77"/>
      <c r="I461" s="77"/>
      <c r="J461" s="97"/>
      <c r="K461" s="1"/>
      <c r="L461" s="1"/>
      <c r="M461" s="1"/>
      <c r="N461" s="1"/>
      <c r="O461" s="1"/>
      <c r="P461" s="1"/>
      <c r="Q461" s="1"/>
      <c r="R461" s="1"/>
      <c r="S461" s="1"/>
      <c r="T461" s="1"/>
      <c r="U461" s="1"/>
      <c r="V461" s="1"/>
      <c r="W461" s="1"/>
      <c r="X461" s="1"/>
    </row>
    <row r="462" spans="1:24" ht="14.25" customHeight="1" x14ac:dyDescent="0.2">
      <c r="A462" s="79"/>
      <c r="B462" s="76"/>
      <c r="C462" s="76"/>
      <c r="D462" s="78"/>
      <c r="E462" s="77"/>
      <c r="F462" s="77"/>
      <c r="G462" s="77"/>
      <c r="H462" s="77"/>
      <c r="I462" s="77"/>
      <c r="J462" s="97"/>
      <c r="K462" s="1"/>
      <c r="L462" s="1"/>
      <c r="M462" s="1"/>
      <c r="N462" s="1"/>
      <c r="O462" s="1"/>
      <c r="P462" s="1"/>
      <c r="Q462" s="1"/>
      <c r="R462" s="1"/>
      <c r="S462" s="1"/>
      <c r="T462" s="1"/>
      <c r="U462" s="1"/>
      <c r="V462" s="1"/>
      <c r="W462" s="1"/>
      <c r="X462" s="1"/>
    </row>
    <row r="463" spans="1:24" ht="14.25" customHeight="1" x14ac:dyDescent="0.2">
      <c r="A463" s="79"/>
      <c r="B463" s="76"/>
      <c r="C463" s="76"/>
      <c r="D463" s="78"/>
      <c r="E463" s="77"/>
      <c r="F463" s="77"/>
      <c r="G463" s="77"/>
      <c r="H463" s="77"/>
      <c r="I463" s="77"/>
      <c r="J463" s="97"/>
      <c r="K463" s="1"/>
      <c r="L463" s="1"/>
      <c r="M463" s="1"/>
      <c r="N463" s="1"/>
      <c r="O463" s="1"/>
      <c r="P463" s="1"/>
      <c r="Q463" s="1"/>
      <c r="R463" s="1"/>
      <c r="S463" s="1"/>
      <c r="T463" s="1"/>
      <c r="U463" s="1"/>
      <c r="V463" s="1"/>
      <c r="W463" s="1"/>
      <c r="X463" s="1"/>
    </row>
    <row r="464" spans="1:24" ht="14.25" customHeight="1" x14ac:dyDescent="0.2">
      <c r="A464" s="79"/>
      <c r="B464" s="76"/>
      <c r="C464" s="76"/>
      <c r="D464" s="78"/>
      <c r="E464" s="77"/>
      <c r="F464" s="77"/>
      <c r="G464" s="77"/>
      <c r="H464" s="77"/>
      <c r="I464" s="77"/>
      <c r="J464" s="97"/>
      <c r="K464" s="1"/>
      <c r="L464" s="1"/>
      <c r="M464" s="1"/>
      <c r="N464" s="1"/>
      <c r="O464" s="1"/>
      <c r="P464" s="1"/>
      <c r="Q464" s="1"/>
      <c r="R464" s="1"/>
      <c r="S464" s="1"/>
      <c r="T464" s="1"/>
      <c r="U464" s="1"/>
      <c r="V464" s="1"/>
      <c r="W464" s="1"/>
      <c r="X464" s="1"/>
    </row>
    <row r="465" spans="1:24" ht="14.25" customHeight="1" x14ac:dyDescent="0.2">
      <c r="A465" s="79"/>
      <c r="B465" s="76"/>
      <c r="C465" s="76"/>
      <c r="D465" s="78"/>
      <c r="E465" s="77"/>
      <c r="F465" s="77"/>
      <c r="G465" s="77"/>
      <c r="H465" s="77"/>
      <c r="I465" s="77"/>
      <c r="J465" s="97"/>
      <c r="K465" s="1"/>
      <c r="L465" s="1"/>
      <c r="M465" s="1"/>
      <c r="N465" s="1"/>
      <c r="O465" s="1"/>
      <c r="P465" s="1"/>
      <c r="Q465" s="1"/>
      <c r="R465" s="1"/>
      <c r="S465" s="1"/>
      <c r="T465" s="1"/>
      <c r="U465" s="1"/>
      <c r="V465" s="1"/>
      <c r="W465" s="1"/>
      <c r="X465" s="1"/>
    </row>
    <row r="466" spans="1:24" ht="14.25" customHeight="1" x14ac:dyDescent="0.2">
      <c r="A466" s="79"/>
      <c r="B466" s="76"/>
      <c r="C466" s="76"/>
      <c r="D466" s="78"/>
      <c r="E466" s="77"/>
      <c r="F466" s="77"/>
      <c r="G466" s="77"/>
      <c r="H466" s="77"/>
      <c r="I466" s="77"/>
      <c r="J466" s="97"/>
      <c r="K466" s="1"/>
      <c r="L466" s="1"/>
      <c r="M466" s="1"/>
      <c r="N466" s="1"/>
      <c r="O466" s="1"/>
      <c r="P466" s="1"/>
      <c r="Q466" s="1"/>
      <c r="R466" s="1"/>
      <c r="S466" s="1"/>
      <c r="T466" s="1"/>
      <c r="U466" s="1"/>
      <c r="V466" s="1"/>
      <c r="W466" s="1"/>
      <c r="X466" s="1"/>
    </row>
    <row r="467" spans="1:24" ht="14.25" customHeight="1" x14ac:dyDescent="0.2">
      <c r="A467" s="79"/>
      <c r="B467" s="76"/>
      <c r="C467" s="76"/>
      <c r="D467" s="78"/>
      <c r="E467" s="77"/>
      <c r="F467" s="77"/>
      <c r="G467" s="77"/>
      <c r="H467" s="77"/>
      <c r="I467" s="77"/>
      <c r="J467" s="97"/>
      <c r="K467" s="1"/>
      <c r="L467" s="1"/>
      <c r="M467" s="1"/>
      <c r="N467" s="1"/>
      <c r="O467" s="1"/>
      <c r="P467" s="1"/>
      <c r="Q467" s="1"/>
      <c r="R467" s="1"/>
      <c r="S467" s="1"/>
      <c r="T467" s="1"/>
      <c r="U467" s="1"/>
      <c r="V467" s="1"/>
      <c r="W467" s="1"/>
      <c r="X467" s="1"/>
    </row>
    <row r="468" spans="1:24" ht="14.25" customHeight="1" x14ac:dyDescent="0.2">
      <c r="A468" s="79"/>
      <c r="B468" s="76"/>
      <c r="C468" s="76"/>
      <c r="D468" s="78"/>
      <c r="E468" s="77"/>
      <c r="F468" s="77"/>
      <c r="G468" s="77"/>
      <c r="H468" s="77"/>
      <c r="I468" s="77"/>
      <c r="J468" s="97"/>
      <c r="K468" s="1"/>
      <c r="L468" s="1"/>
      <c r="M468" s="1"/>
      <c r="N468" s="1"/>
      <c r="O468" s="1"/>
      <c r="P468" s="1"/>
      <c r="Q468" s="1"/>
      <c r="R468" s="1"/>
      <c r="S468" s="1"/>
      <c r="T468" s="1"/>
      <c r="U468" s="1"/>
      <c r="V468" s="1"/>
      <c r="W468" s="1"/>
      <c r="X468" s="1"/>
    </row>
    <row r="469" spans="1:24" ht="14.25" customHeight="1" x14ac:dyDescent="0.2">
      <c r="A469" s="79"/>
      <c r="B469" s="76"/>
      <c r="C469" s="76"/>
      <c r="D469" s="78"/>
      <c r="E469" s="77"/>
      <c r="F469" s="77"/>
      <c r="G469" s="77"/>
      <c r="H469" s="77"/>
      <c r="I469" s="77"/>
      <c r="J469" s="97"/>
      <c r="K469" s="1"/>
      <c r="L469" s="1"/>
      <c r="M469" s="1"/>
      <c r="N469" s="1"/>
      <c r="O469" s="1"/>
      <c r="P469" s="1"/>
      <c r="Q469" s="1"/>
      <c r="R469" s="1"/>
      <c r="S469" s="1"/>
      <c r="T469" s="1"/>
      <c r="U469" s="1"/>
      <c r="V469" s="1"/>
      <c r="W469" s="1"/>
      <c r="X469" s="1"/>
    </row>
    <row r="470" spans="1:24" ht="14.25" customHeight="1" x14ac:dyDescent="0.2">
      <c r="A470" s="79"/>
      <c r="B470" s="76"/>
      <c r="C470" s="76"/>
      <c r="D470" s="78"/>
      <c r="E470" s="77"/>
      <c r="F470" s="77"/>
      <c r="G470" s="77"/>
      <c r="H470" s="77"/>
      <c r="I470" s="77"/>
      <c r="J470" s="97"/>
      <c r="K470" s="1"/>
      <c r="L470" s="1"/>
      <c r="M470" s="1"/>
      <c r="N470" s="1"/>
      <c r="O470" s="1"/>
      <c r="P470" s="1"/>
      <c r="Q470" s="1"/>
      <c r="R470" s="1"/>
      <c r="S470" s="1"/>
      <c r="T470" s="1"/>
      <c r="U470" s="1"/>
      <c r="V470" s="1"/>
      <c r="W470" s="1"/>
      <c r="X470" s="1"/>
    </row>
    <row r="471" spans="1:24" ht="14.25" customHeight="1" x14ac:dyDescent="0.2">
      <c r="A471" s="79"/>
      <c r="B471" s="76"/>
      <c r="C471" s="76"/>
      <c r="D471" s="78"/>
      <c r="E471" s="77"/>
      <c r="F471" s="77"/>
      <c r="G471" s="77"/>
      <c r="H471" s="77"/>
      <c r="I471" s="77"/>
      <c r="J471" s="97"/>
      <c r="K471" s="1"/>
      <c r="L471" s="1"/>
      <c r="M471" s="1"/>
      <c r="N471" s="1"/>
      <c r="O471" s="1"/>
      <c r="P471" s="1"/>
      <c r="Q471" s="1"/>
      <c r="R471" s="1"/>
      <c r="S471" s="1"/>
      <c r="T471" s="1"/>
      <c r="U471" s="1"/>
      <c r="V471" s="1"/>
      <c r="W471" s="1"/>
      <c r="X471" s="1"/>
    </row>
    <row r="472" spans="1:24" ht="14.25" customHeight="1" x14ac:dyDescent="0.2">
      <c r="A472" s="79"/>
      <c r="B472" s="76"/>
      <c r="C472" s="76"/>
      <c r="D472" s="78"/>
      <c r="E472" s="77"/>
      <c r="F472" s="77"/>
      <c r="G472" s="77"/>
      <c r="H472" s="77"/>
      <c r="I472" s="77"/>
      <c r="J472" s="97"/>
      <c r="K472" s="1"/>
      <c r="L472" s="1"/>
      <c r="M472" s="1"/>
      <c r="N472" s="1"/>
      <c r="O472" s="1"/>
      <c r="P472" s="1"/>
      <c r="Q472" s="1"/>
      <c r="R472" s="1"/>
      <c r="S472" s="1"/>
      <c r="T472" s="1"/>
      <c r="U472" s="1"/>
      <c r="V472" s="1"/>
      <c r="W472" s="1"/>
      <c r="X472" s="1"/>
    </row>
    <row r="473" spans="1:24" ht="14.25" customHeight="1" x14ac:dyDescent="0.2">
      <c r="A473" s="79"/>
      <c r="B473" s="76"/>
      <c r="C473" s="76"/>
      <c r="D473" s="78"/>
      <c r="E473" s="77"/>
      <c r="F473" s="77"/>
      <c r="G473" s="77"/>
      <c r="H473" s="77"/>
      <c r="I473" s="77"/>
      <c r="J473" s="97"/>
      <c r="K473" s="1"/>
      <c r="L473" s="1"/>
      <c r="M473" s="1"/>
      <c r="N473" s="1"/>
      <c r="O473" s="1"/>
      <c r="P473" s="1"/>
      <c r="Q473" s="1"/>
      <c r="R473" s="1"/>
      <c r="S473" s="1"/>
      <c r="T473" s="1"/>
      <c r="U473" s="1"/>
      <c r="V473" s="1"/>
      <c r="W473" s="1"/>
      <c r="X473" s="1"/>
    </row>
    <row r="474" spans="1:24" ht="14.25" customHeight="1" x14ac:dyDescent="0.2">
      <c r="A474" s="79"/>
      <c r="B474" s="76"/>
      <c r="C474" s="76"/>
      <c r="D474" s="78"/>
      <c r="E474" s="77"/>
      <c r="F474" s="77"/>
      <c r="G474" s="77"/>
      <c r="H474" s="77"/>
      <c r="I474" s="77"/>
      <c r="J474" s="97"/>
      <c r="K474" s="1"/>
      <c r="L474" s="1"/>
      <c r="M474" s="1"/>
      <c r="N474" s="1"/>
      <c r="O474" s="1"/>
      <c r="P474" s="1"/>
      <c r="Q474" s="1"/>
      <c r="R474" s="1"/>
      <c r="S474" s="1"/>
      <c r="T474" s="1"/>
      <c r="U474" s="1"/>
      <c r="V474" s="1"/>
      <c r="W474" s="1"/>
      <c r="X474" s="1"/>
    </row>
    <row r="475" spans="1:24" ht="14.25" customHeight="1" x14ac:dyDescent="0.2">
      <c r="A475" s="79"/>
      <c r="B475" s="76"/>
      <c r="C475" s="76"/>
      <c r="D475" s="78"/>
      <c r="E475" s="77"/>
      <c r="F475" s="77"/>
      <c r="G475" s="77"/>
      <c r="H475" s="77"/>
      <c r="I475" s="77"/>
      <c r="J475" s="97"/>
      <c r="K475" s="1"/>
      <c r="L475" s="1"/>
      <c r="M475" s="1"/>
      <c r="N475" s="1"/>
      <c r="O475" s="1"/>
      <c r="P475" s="1"/>
      <c r="Q475" s="1"/>
      <c r="R475" s="1"/>
      <c r="S475" s="1"/>
      <c r="T475" s="1"/>
      <c r="U475" s="1"/>
      <c r="V475" s="1"/>
      <c r="W475" s="1"/>
      <c r="X475" s="1"/>
    </row>
    <row r="476" spans="1:24" ht="14.25" customHeight="1" x14ac:dyDescent="0.2">
      <c r="A476" s="79"/>
      <c r="B476" s="76"/>
      <c r="C476" s="76"/>
      <c r="D476" s="78"/>
      <c r="E476" s="77"/>
      <c r="F476" s="77"/>
      <c r="G476" s="77"/>
      <c r="H476" s="77"/>
      <c r="I476" s="77"/>
      <c r="J476" s="97"/>
      <c r="K476" s="1"/>
      <c r="L476" s="1"/>
      <c r="M476" s="1"/>
      <c r="N476" s="1"/>
      <c r="O476" s="1"/>
      <c r="P476" s="1"/>
      <c r="Q476" s="1"/>
      <c r="R476" s="1"/>
      <c r="S476" s="1"/>
      <c r="T476" s="1"/>
      <c r="U476" s="1"/>
      <c r="V476" s="1"/>
      <c r="W476" s="1"/>
      <c r="X476" s="1"/>
    </row>
    <row r="477" spans="1:24" ht="14.25" customHeight="1" x14ac:dyDescent="0.2">
      <c r="A477" s="79"/>
      <c r="B477" s="76"/>
      <c r="C477" s="76"/>
      <c r="D477" s="78"/>
      <c r="E477" s="77"/>
      <c r="F477" s="77"/>
      <c r="G477" s="77"/>
      <c r="H477" s="77"/>
      <c r="I477" s="77"/>
      <c r="J477" s="97"/>
      <c r="K477" s="1"/>
      <c r="L477" s="1"/>
      <c r="M477" s="1"/>
      <c r="N477" s="1"/>
      <c r="O477" s="1"/>
      <c r="P477" s="1"/>
      <c r="Q477" s="1"/>
      <c r="R477" s="1"/>
      <c r="S477" s="1"/>
      <c r="T477" s="1"/>
      <c r="U477" s="1"/>
      <c r="V477" s="1"/>
      <c r="W477" s="1"/>
      <c r="X477" s="1"/>
    </row>
    <row r="478" spans="1:24" ht="14.25" customHeight="1" x14ac:dyDescent="0.2">
      <c r="A478" s="79"/>
      <c r="B478" s="76"/>
      <c r="C478" s="76"/>
      <c r="D478" s="78"/>
      <c r="E478" s="77"/>
      <c r="F478" s="77"/>
      <c r="G478" s="77"/>
      <c r="H478" s="77"/>
      <c r="I478" s="77"/>
      <c r="J478" s="97"/>
      <c r="K478" s="1"/>
      <c r="L478" s="1"/>
      <c r="M478" s="1"/>
      <c r="N478" s="1"/>
      <c r="O478" s="1"/>
      <c r="P478" s="1"/>
      <c r="Q478" s="1"/>
      <c r="R478" s="1"/>
      <c r="S478" s="1"/>
      <c r="T478" s="1"/>
      <c r="U478" s="1"/>
      <c r="V478" s="1"/>
      <c r="W478" s="1"/>
      <c r="X478" s="1"/>
    </row>
    <row r="479" spans="1:24" ht="14.25" customHeight="1" x14ac:dyDescent="0.2">
      <c r="A479" s="79"/>
      <c r="B479" s="76"/>
      <c r="C479" s="76"/>
      <c r="D479" s="78"/>
      <c r="E479" s="77"/>
      <c r="F479" s="77"/>
      <c r="G479" s="77"/>
      <c r="H479" s="77"/>
      <c r="I479" s="77"/>
      <c r="J479" s="97"/>
      <c r="K479" s="1"/>
      <c r="L479" s="1"/>
      <c r="M479" s="1"/>
      <c r="N479" s="1"/>
      <c r="O479" s="1"/>
      <c r="P479" s="1"/>
      <c r="Q479" s="1"/>
      <c r="R479" s="1"/>
      <c r="S479" s="1"/>
      <c r="T479" s="1"/>
      <c r="U479" s="1"/>
      <c r="V479" s="1"/>
      <c r="W479" s="1"/>
      <c r="X479" s="1"/>
    </row>
    <row r="480" spans="1:24" ht="14.25" customHeight="1" x14ac:dyDescent="0.2">
      <c r="A480" s="79"/>
      <c r="B480" s="76"/>
      <c r="C480" s="76"/>
      <c r="D480" s="78"/>
      <c r="E480" s="77"/>
      <c r="F480" s="77"/>
      <c r="G480" s="77"/>
      <c r="H480" s="77"/>
      <c r="I480" s="77"/>
      <c r="J480" s="97"/>
      <c r="K480" s="1"/>
      <c r="L480" s="1"/>
      <c r="M480" s="1"/>
      <c r="N480" s="1"/>
      <c r="O480" s="1"/>
      <c r="P480" s="1"/>
      <c r="Q480" s="1"/>
      <c r="R480" s="1"/>
      <c r="S480" s="1"/>
      <c r="T480" s="1"/>
      <c r="U480" s="1"/>
      <c r="V480" s="1"/>
      <c r="W480" s="1"/>
      <c r="X480" s="1"/>
    </row>
    <row r="481" spans="1:24" ht="14.25" customHeight="1" x14ac:dyDescent="0.2">
      <c r="A481" s="79"/>
      <c r="B481" s="76"/>
      <c r="C481" s="76"/>
      <c r="D481" s="78"/>
      <c r="E481" s="77"/>
      <c r="F481" s="77"/>
      <c r="G481" s="77"/>
      <c r="H481" s="77"/>
      <c r="I481" s="77"/>
      <c r="J481" s="97"/>
      <c r="K481" s="1"/>
      <c r="L481" s="1"/>
      <c r="M481" s="1"/>
      <c r="N481" s="1"/>
      <c r="O481" s="1"/>
      <c r="P481" s="1"/>
      <c r="Q481" s="1"/>
      <c r="R481" s="1"/>
      <c r="S481" s="1"/>
      <c r="T481" s="1"/>
      <c r="U481" s="1"/>
      <c r="V481" s="1"/>
      <c r="W481" s="1"/>
      <c r="X481" s="1"/>
    </row>
    <row r="482" spans="1:24" ht="14.25" customHeight="1" x14ac:dyDescent="0.2">
      <c r="A482" s="79"/>
      <c r="B482" s="76"/>
      <c r="C482" s="76"/>
      <c r="D482" s="78"/>
      <c r="E482" s="77"/>
      <c r="F482" s="77"/>
      <c r="G482" s="77"/>
      <c r="H482" s="77"/>
      <c r="I482" s="77"/>
      <c r="J482" s="97"/>
      <c r="K482" s="1"/>
      <c r="L482" s="1"/>
      <c r="M482" s="1"/>
      <c r="N482" s="1"/>
      <c r="O482" s="1"/>
      <c r="P482" s="1"/>
      <c r="Q482" s="1"/>
      <c r="R482" s="1"/>
      <c r="S482" s="1"/>
      <c r="T482" s="1"/>
      <c r="U482" s="1"/>
      <c r="V482" s="1"/>
      <c r="W482" s="1"/>
      <c r="X482" s="1"/>
    </row>
    <row r="483" spans="1:24" ht="14.25" customHeight="1" x14ac:dyDescent="0.2">
      <c r="A483" s="79"/>
      <c r="B483" s="76"/>
      <c r="C483" s="76"/>
      <c r="D483" s="78"/>
      <c r="E483" s="77"/>
      <c r="F483" s="77"/>
      <c r="G483" s="77"/>
      <c r="H483" s="77"/>
      <c r="I483" s="77"/>
      <c r="J483" s="97"/>
      <c r="K483" s="1"/>
      <c r="L483" s="1"/>
      <c r="M483" s="1"/>
      <c r="N483" s="1"/>
      <c r="O483" s="1"/>
      <c r="P483" s="1"/>
      <c r="Q483" s="1"/>
      <c r="R483" s="1"/>
      <c r="S483" s="1"/>
      <c r="T483" s="1"/>
      <c r="U483" s="1"/>
      <c r="V483" s="1"/>
      <c r="W483" s="1"/>
      <c r="X483" s="1"/>
    </row>
    <row r="484" spans="1:24" ht="14.25" customHeight="1" x14ac:dyDescent="0.2">
      <c r="A484" s="79"/>
      <c r="B484" s="76"/>
      <c r="C484" s="76"/>
      <c r="D484" s="78"/>
      <c r="E484" s="77"/>
      <c r="F484" s="77"/>
      <c r="G484" s="77"/>
      <c r="H484" s="77"/>
      <c r="I484" s="77"/>
      <c r="J484" s="97"/>
      <c r="K484" s="1"/>
      <c r="L484" s="1"/>
      <c r="M484" s="1"/>
      <c r="N484" s="1"/>
      <c r="O484" s="1"/>
      <c r="P484" s="1"/>
      <c r="Q484" s="1"/>
      <c r="R484" s="1"/>
      <c r="S484" s="1"/>
      <c r="T484" s="1"/>
      <c r="U484" s="1"/>
      <c r="V484" s="1"/>
      <c r="W484" s="1"/>
      <c r="X484" s="1"/>
    </row>
    <row r="485" spans="1:24" ht="14.25" customHeight="1" x14ac:dyDescent="0.2">
      <c r="A485" s="79"/>
      <c r="B485" s="76"/>
      <c r="C485" s="76"/>
      <c r="D485" s="78"/>
      <c r="E485" s="77"/>
      <c r="F485" s="77"/>
      <c r="G485" s="77"/>
      <c r="H485" s="77"/>
      <c r="I485" s="77"/>
      <c r="J485" s="97"/>
      <c r="K485" s="1"/>
      <c r="L485" s="1"/>
      <c r="M485" s="1"/>
      <c r="N485" s="1"/>
      <c r="O485" s="1"/>
      <c r="P485" s="1"/>
      <c r="Q485" s="1"/>
      <c r="R485" s="1"/>
      <c r="S485" s="1"/>
      <c r="T485" s="1"/>
      <c r="U485" s="1"/>
      <c r="V485" s="1"/>
      <c r="W485" s="1"/>
      <c r="X485" s="1"/>
    </row>
    <row r="486" spans="1:24" ht="14.25" customHeight="1" x14ac:dyDescent="0.2">
      <c r="A486" s="79"/>
      <c r="B486" s="76"/>
      <c r="C486" s="76"/>
      <c r="D486" s="78"/>
      <c r="E486" s="77"/>
      <c r="F486" s="77"/>
      <c r="G486" s="77"/>
      <c r="H486" s="77"/>
      <c r="I486" s="77"/>
      <c r="J486" s="97"/>
      <c r="K486" s="1"/>
      <c r="L486" s="1"/>
      <c r="M486" s="1"/>
      <c r="N486" s="1"/>
      <c r="O486" s="1"/>
      <c r="P486" s="1"/>
      <c r="Q486" s="1"/>
      <c r="R486" s="1"/>
      <c r="S486" s="1"/>
      <c r="T486" s="1"/>
      <c r="U486" s="1"/>
      <c r="V486" s="1"/>
      <c r="W486" s="1"/>
      <c r="X486" s="1"/>
    </row>
    <row r="487" spans="1:24" ht="14.25" customHeight="1" x14ac:dyDescent="0.2">
      <c r="A487" s="79"/>
      <c r="B487" s="76"/>
      <c r="C487" s="76"/>
      <c r="D487" s="78"/>
      <c r="E487" s="77"/>
      <c r="F487" s="77"/>
      <c r="G487" s="77"/>
      <c r="H487" s="77"/>
      <c r="I487" s="77"/>
      <c r="J487" s="97"/>
      <c r="K487" s="1"/>
      <c r="L487" s="1"/>
      <c r="M487" s="1"/>
      <c r="N487" s="1"/>
      <c r="O487" s="1"/>
      <c r="P487" s="1"/>
      <c r="Q487" s="1"/>
      <c r="R487" s="1"/>
      <c r="S487" s="1"/>
      <c r="T487" s="1"/>
      <c r="U487" s="1"/>
      <c r="V487" s="1"/>
      <c r="W487" s="1"/>
      <c r="X487" s="1"/>
    </row>
    <row r="488" spans="1:24" ht="14.25" customHeight="1" x14ac:dyDescent="0.2">
      <c r="A488" s="79"/>
      <c r="B488" s="76"/>
      <c r="C488" s="76"/>
      <c r="D488" s="78"/>
      <c r="E488" s="77"/>
      <c r="F488" s="77"/>
      <c r="G488" s="77"/>
      <c r="H488" s="77"/>
      <c r="I488" s="77"/>
      <c r="J488" s="97"/>
      <c r="K488" s="1"/>
      <c r="L488" s="1"/>
      <c r="M488" s="1"/>
      <c r="N488" s="1"/>
      <c r="O488" s="1"/>
      <c r="P488" s="1"/>
      <c r="Q488" s="1"/>
      <c r="R488" s="1"/>
      <c r="S488" s="1"/>
      <c r="T488" s="1"/>
      <c r="U488" s="1"/>
      <c r="V488" s="1"/>
      <c r="W488" s="1"/>
      <c r="X488" s="1"/>
    </row>
    <row r="489" spans="1:24" ht="14.25" customHeight="1" x14ac:dyDescent="0.2">
      <c r="A489" s="79"/>
      <c r="B489" s="76"/>
      <c r="C489" s="76"/>
      <c r="D489" s="78"/>
      <c r="E489" s="77"/>
      <c r="F489" s="77"/>
      <c r="G489" s="77"/>
      <c r="H489" s="77"/>
      <c r="I489" s="77"/>
      <c r="J489" s="97"/>
      <c r="K489" s="1"/>
      <c r="L489" s="1"/>
      <c r="M489" s="1"/>
      <c r="N489" s="1"/>
      <c r="O489" s="1"/>
      <c r="P489" s="1"/>
      <c r="Q489" s="1"/>
      <c r="R489" s="1"/>
      <c r="S489" s="1"/>
      <c r="T489" s="1"/>
      <c r="U489" s="1"/>
      <c r="V489" s="1"/>
      <c r="W489" s="1"/>
      <c r="X489" s="1"/>
    </row>
    <row r="490" spans="1:24" ht="14.25" customHeight="1" x14ac:dyDescent="0.2">
      <c r="A490" s="79"/>
      <c r="B490" s="76"/>
      <c r="C490" s="76"/>
      <c r="D490" s="78"/>
      <c r="E490" s="77"/>
      <c r="F490" s="77"/>
      <c r="G490" s="77"/>
      <c r="H490" s="77"/>
      <c r="I490" s="77"/>
      <c r="J490" s="97"/>
      <c r="K490" s="1"/>
      <c r="L490" s="1"/>
      <c r="M490" s="1"/>
      <c r="N490" s="1"/>
      <c r="O490" s="1"/>
      <c r="P490" s="1"/>
      <c r="Q490" s="1"/>
      <c r="R490" s="1"/>
      <c r="S490" s="1"/>
      <c r="T490" s="1"/>
      <c r="U490" s="1"/>
      <c r="V490" s="1"/>
      <c r="W490" s="1"/>
      <c r="X490" s="1"/>
    </row>
    <row r="491" spans="1:24" ht="14.25" customHeight="1" x14ac:dyDescent="0.2">
      <c r="A491" s="79"/>
      <c r="B491" s="76"/>
      <c r="C491" s="76"/>
      <c r="D491" s="78"/>
      <c r="E491" s="77"/>
      <c r="F491" s="77"/>
      <c r="G491" s="77"/>
      <c r="H491" s="77"/>
      <c r="I491" s="77"/>
      <c r="J491" s="97"/>
      <c r="K491" s="1"/>
      <c r="L491" s="1"/>
      <c r="M491" s="1"/>
      <c r="N491" s="1"/>
      <c r="O491" s="1"/>
      <c r="P491" s="1"/>
      <c r="Q491" s="1"/>
      <c r="R491" s="1"/>
      <c r="S491" s="1"/>
      <c r="T491" s="1"/>
      <c r="U491" s="1"/>
      <c r="V491" s="1"/>
      <c r="W491" s="1"/>
      <c r="X491" s="1"/>
    </row>
    <row r="492" spans="1:24" ht="14.25" customHeight="1" x14ac:dyDescent="0.2">
      <c r="A492" s="79"/>
      <c r="B492" s="76"/>
      <c r="C492" s="76"/>
      <c r="D492" s="78"/>
      <c r="E492" s="77"/>
      <c r="F492" s="77"/>
      <c r="G492" s="77"/>
      <c r="H492" s="77"/>
      <c r="I492" s="77"/>
      <c r="J492" s="97"/>
      <c r="K492" s="1"/>
      <c r="L492" s="1"/>
      <c r="M492" s="1"/>
      <c r="N492" s="1"/>
      <c r="O492" s="1"/>
      <c r="P492" s="1"/>
      <c r="Q492" s="1"/>
      <c r="R492" s="1"/>
      <c r="S492" s="1"/>
      <c r="T492" s="1"/>
      <c r="U492" s="1"/>
      <c r="V492" s="1"/>
      <c r="W492" s="1"/>
      <c r="X492" s="1"/>
    </row>
    <row r="493" spans="1:24" ht="14.25" customHeight="1" x14ac:dyDescent="0.2">
      <c r="A493" s="79"/>
      <c r="B493" s="76"/>
      <c r="C493" s="76"/>
      <c r="D493" s="78"/>
      <c r="E493" s="77"/>
      <c r="F493" s="77"/>
      <c r="G493" s="77"/>
      <c r="H493" s="77"/>
      <c r="I493" s="77"/>
      <c r="J493" s="97"/>
      <c r="K493" s="1"/>
      <c r="L493" s="1"/>
      <c r="M493" s="1"/>
      <c r="N493" s="1"/>
      <c r="O493" s="1"/>
      <c r="P493" s="1"/>
      <c r="Q493" s="1"/>
      <c r="R493" s="1"/>
      <c r="S493" s="1"/>
      <c r="T493" s="1"/>
      <c r="U493" s="1"/>
      <c r="V493" s="1"/>
      <c r="W493" s="1"/>
      <c r="X493" s="1"/>
    </row>
    <row r="494" spans="1:24" ht="14.25" customHeight="1" x14ac:dyDescent="0.2">
      <c r="A494" s="79"/>
      <c r="B494" s="76"/>
      <c r="C494" s="76"/>
      <c r="D494" s="78"/>
      <c r="E494" s="77"/>
      <c r="F494" s="77"/>
      <c r="G494" s="77"/>
      <c r="H494" s="77"/>
      <c r="I494" s="77"/>
      <c r="J494" s="97"/>
      <c r="K494" s="1"/>
      <c r="L494" s="1"/>
      <c r="M494" s="1"/>
      <c r="N494" s="1"/>
      <c r="O494" s="1"/>
      <c r="P494" s="1"/>
      <c r="Q494" s="1"/>
      <c r="R494" s="1"/>
      <c r="S494" s="1"/>
      <c r="T494" s="1"/>
      <c r="U494" s="1"/>
      <c r="V494" s="1"/>
      <c r="W494" s="1"/>
      <c r="X494" s="1"/>
    </row>
    <row r="495" spans="1:24" ht="14.25" customHeight="1" x14ac:dyDescent="0.2">
      <c r="A495" s="79"/>
      <c r="B495" s="76"/>
      <c r="C495" s="76"/>
      <c r="D495" s="78"/>
      <c r="E495" s="77"/>
      <c r="F495" s="77"/>
      <c r="G495" s="77"/>
      <c r="H495" s="77"/>
      <c r="I495" s="77"/>
      <c r="J495" s="97"/>
      <c r="K495" s="1"/>
      <c r="L495" s="1"/>
      <c r="M495" s="1"/>
      <c r="N495" s="1"/>
      <c r="O495" s="1"/>
      <c r="P495" s="1"/>
      <c r="Q495" s="1"/>
      <c r="R495" s="1"/>
      <c r="S495" s="1"/>
      <c r="T495" s="1"/>
      <c r="U495" s="1"/>
      <c r="V495" s="1"/>
      <c r="W495" s="1"/>
      <c r="X495" s="1"/>
    </row>
    <row r="496" spans="1:24" ht="14.25" customHeight="1" x14ac:dyDescent="0.2">
      <c r="A496" s="79"/>
      <c r="B496" s="76"/>
      <c r="C496" s="76"/>
      <c r="D496" s="78"/>
      <c r="E496" s="77"/>
      <c r="F496" s="77"/>
      <c r="G496" s="77"/>
      <c r="H496" s="77"/>
      <c r="I496" s="77"/>
      <c r="J496" s="97"/>
      <c r="K496" s="1"/>
      <c r="L496" s="1"/>
      <c r="M496" s="1"/>
      <c r="N496" s="1"/>
      <c r="O496" s="1"/>
      <c r="P496" s="1"/>
      <c r="Q496" s="1"/>
      <c r="R496" s="1"/>
      <c r="S496" s="1"/>
      <c r="T496" s="1"/>
      <c r="U496" s="1"/>
      <c r="V496" s="1"/>
      <c r="W496" s="1"/>
      <c r="X496" s="1"/>
    </row>
    <row r="497" spans="1:24" ht="14.25" customHeight="1" x14ac:dyDescent="0.2">
      <c r="A497" s="79"/>
      <c r="B497" s="76"/>
      <c r="C497" s="76"/>
      <c r="D497" s="78"/>
      <c r="E497" s="77"/>
      <c r="F497" s="77"/>
      <c r="G497" s="77"/>
      <c r="H497" s="77"/>
      <c r="I497" s="77"/>
      <c r="J497" s="97"/>
      <c r="K497" s="1"/>
      <c r="L497" s="1"/>
      <c r="M497" s="1"/>
      <c r="N497" s="1"/>
      <c r="O497" s="1"/>
      <c r="P497" s="1"/>
      <c r="Q497" s="1"/>
      <c r="R497" s="1"/>
      <c r="S497" s="1"/>
      <c r="T497" s="1"/>
      <c r="U497" s="1"/>
      <c r="V497" s="1"/>
      <c r="W497" s="1"/>
      <c r="X497" s="1"/>
    </row>
    <row r="498" spans="1:24" ht="14.25" customHeight="1" x14ac:dyDescent="0.2">
      <c r="A498" s="79"/>
      <c r="B498" s="76"/>
      <c r="C498" s="76"/>
      <c r="D498" s="78"/>
      <c r="E498" s="77"/>
      <c r="F498" s="77"/>
      <c r="G498" s="77"/>
      <c r="H498" s="77"/>
      <c r="I498" s="77"/>
      <c r="J498" s="97"/>
      <c r="K498" s="1"/>
      <c r="L498" s="1"/>
      <c r="M498" s="1"/>
      <c r="N498" s="1"/>
      <c r="O498" s="1"/>
      <c r="P498" s="1"/>
      <c r="Q498" s="1"/>
      <c r="R498" s="1"/>
      <c r="S498" s="1"/>
      <c r="T498" s="1"/>
      <c r="U498" s="1"/>
      <c r="V498" s="1"/>
      <c r="W498" s="1"/>
      <c r="X498" s="1"/>
    </row>
    <row r="499" spans="1:24" ht="14.25" customHeight="1" x14ac:dyDescent="0.2">
      <c r="A499" s="79"/>
      <c r="B499" s="76"/>
      <c r="C499" s="76"/>
      <c r="D499" s="78"/>
      <c r="E499" s="77"/>
      <c r="F499" s="77"/>
      <c r="G499" s="77"/>
      <c r="H499" s="77"/>
      <c r="I499" s="77"/>
      <c r="J499" s="97"/>
      <c r="K499" s="1"/>
      <c r="L499" s="1"/>
      <c r="M499" s="1"/>
      <c r="N499" s="1"/>
      <c r="O499" s="1"/>
      <c r="P499" s="1"/>
      <c r="Q499" s="1"/>
      <c r="R499" s="1"/>
      <c r="S499" s="1"/>
      <c r="T499" s="1"/>
      <c r="U499" s="1"/>
      <c r="V499" s="1"/>
      <c r="W499" s="1"/>
      <c r="X499" s="1"/>
    </row>
    <row r="500" spans="1:24" ht="14.25" customHeight="1" x14ac:dyDescent="0.2">
      <c r="A500" s="79"/>
      <c r="B500" s="76"/>
      <c r="C500" s="76"/>
      <c r="D500" s="78"/>
      <c r="E500" s="77"/>
      <c r="F500" s="77"/>
      <c r="G500" s="77"/>
      <c r="H500" s="77"/>
      <c r="I500" s="77"/>
      <c r="J500" s="97"/>
      <c r="K500" s="1"/>
      <c r="L500" s="1"/>
      <c r="M500" s="1"/>
      <c r="N500" s="1"/>
      <c r="O500" s="1"/>
      <c r="P500" s="1"/>
      <c r="Q500" s="1"/>
      <c r="R500" s="1"/>
      <c r="S500" s="1"/>
      <c r="T500" s="1"/>
      <c r="U500" s="1"/>
      <c r="V500" s="1"/>
      <c r="W500" s="1"/>
      <c r="X500" s="1"/>
    </row>
    <row r="501" spans="1:24" ht="14.25" customHeight="1" x14ac:dyDescent="0.2">
      <c r="A501" s="79"/>
      <c r="B501" s="76"/>
      <c r="C501" s="76"/>
      <c r="D501" s="78"/>
      <c r="E501" s="77"/>
      <c r="F501" s="77"/>
      <c r="G501" s="77"/>
      <c r="H501" s="77"/>
      <c r="I501" s="77"/>
      <c r="J501" s="97"/>
      <c r="K501" s="1"/>
      <c r="L501" s="1"/>
      <c r="M501" s="1"/>
      <c r="N501" s="1"/>
      <c r="O501" s="1"/>
      <c r="P501" s="1"/>
      <c r="Q501" s="1"/>
      <c r="R501" s="1"/>
      <c r="S501" s="1"/>
      <c r="T501" s="1"/>
      <c r="U501" s="1"/>
      <c r="V501" s="1"/>
      <c r="W501" s="1"/>
      <c r="X501" s="1"/>
    </row>
    <row r="502" spans="1:24" ht="14.25" customHeight="1" x14ac:dyDescent="0.2">
      <c r="A502" s="79"/>
      <c r="B502" s="76"/>
      <c r="C502" s="76"/>
      <c r="D502" s="78"/>
      <c r="E502" s="77"/>
      <c r="F502" s="77"/>
      <c r="G502" s="77"/>
      <c r="H502" s="77"/>
      <c r="I502" s="77"/>
      <c r="J502" s="97"/>
      <c r="K502" s="1"/>
      <c r="L502" s="1"/>
      <c r="M502" s="1"/>
      <c r="N502" s="1"/>
      <c r="O502" s="1"/>
      <c r="P502" s="1"/>
      <c r="Q502" s="1"/>
      <c r="R502" s="1"/>
      <c r="S502" s="1"/>
      <c r="T502" s="1"/>
      <c r="U502" s="1"/>
      <c r="V502" s="1"/>
      <c r="W502" s="1"/>
      <c r="X502" s="1"/>
    </row>
    <row r="503" spans="1:24" ht="14.25" customHeight="1" x14ac:dyDescent="0.2">
      <c r="A503" s="79"/>
      <c r="B503" s="76"/>
      <c r="C503" s="76"/>
      <c r="D503" s="78"/>
      <c r="E503" s="77"/>
      <c r="F503" s="77"/>
      <c r="G503" s="77"/>
      <c r="H503" s="77"/>
      <c r="I503" s="77"/>
      <c r="J503" s="97"/>
      <c r="K503" s="1"/>
      <c r="L503" s="1"/>
      <c r="M503" s="1"/>
      <c r="N503" s="1"/>
      <c r="O503" s="1"/>
      <c r="P503" s="1"/>
      <c r="Q503" s="1"/>
      <c r="R503" s="1"/>
      <c r="S503" s="1"/>
      <c r="T503" s="1"/>
      <c r="U503" s="1"/>
      <c r="V503" s="1"/>
      <c r="W503" s="1"/>
      <c r="X503" s="1"/>
    </row>
    <row r="504" spans="1:24" ht="14.25" customHeight="1" x14ac:dyDescent="0.2">
      <c r="A504" s="79"/>
      <c r="B504" s="76"/>
      <c r="C504" s="76"/>
      <c r="D504" s="78"/>
      <c r="E504" s="77"/>
      <c r="F504" s="77"/>
      <c r="G504" s="77"/>
      <c r="H504" s="77"/>
      <c r="I504" s="77"/>
      <c r="J504" s="97"/>
      <c r="K504" s="1"/>
      <c r="L504" s="1"/>
      <c r="M504" s="1"/>
      <c r="N504" s="1"/>
      <c r="O504" s="1"/>
      <c r="P504" s="1"/>
      <c r="Q504" s="1"/>
      <c r="R504" s="1"/>
      <c r="S504" s="1"/>
      <c r="T504" s="1"/>
      <c r="U504" s="1"/>
      <c r="V504" s="1"/>
      <c r="W504" s="1"/>
      <c r="X504" s="1"/>
    </row>
    <row r="505" spans="1:24" ht="14.25" customHeight="1" x14ac:dyDescent="0.2">
      <c r="A505" s="79"/>
      <c r="B505" s="76"/>
      <c r="C505" s="76"/>
      <c r="D505" s="78"/>
      <c r="E505" s="77"/>
      <c r="F505" s="77"/>
      <c r="G505" s="77"/>
      <c r="H505" s="77"/>
      <c r="I505" s="77"/>
      <c r="J505" s="97"/>
      <c r="K505" s="1"/>
      <c r="L505" s="1"/>
      <c r="M505" s="1"/>
      <c r="N505" s="1"/>
      <c r="O505" s="1"/>
      <c r="P505" s="1"/>
      <c r="Q505" s="1"/>
      <c r="R505" s="1"/>
      <c r="S505" s="1"/>
      <c r="T505" s="1"/>
      <c r="U505" s="1"/>
      <c r="V505" s="1"/>
      <c r="W505" s="1"/>
      <c r="X505" s="1"/>
    </row>
    <row r="506" spans="1:24" ht="14.25" customHeight="1" x14ac:dyDescent="0.2">
      <c r="A506" s="79"/>
      <c r="B506" s="76"/>
      <c r="C506" s="76"/>
      <c r="D506" s="78"/>
      <c r="E506" s="77"/>
      <c r="F506" s="77"/>
      <c r="G506" s="77"/>
      <c r="H506" s="77"/>
      <c r="I506" s="77"/>
      <c r="J506" s="97"/>
      <c r="K506" s="1"/>
      <c r="L506" s="1"/>
      <c r="M506" s="1"/>
      <c r="N506" s="1"/>
      <c r="O506" s="1"/>
      <c r="P506" s="1"/>
      <c r="Q506" s="1"/>
      <c r="R506" s="1"/>
      <c r="S506" s="1"/>
      <c r="T506" s="1"/>
      <c r="U506" s="1"/>
      <c r="V506" s="1"/>
      <c r="W506" s="1"/>
      <c r="X506" s="1"/>
    </row>
    <row r="507" spans="1:24" ht="14.25" customHeight="1" x14ac:dyDescent="0.2">
      <c r="A507" s="79"/>
      <c r="B507" s="76"/>
      <c r="C507" s="76"/>
      <c r="D507" s="78"/>
      <c r="E507" s="77"/>
      <c r="F507" s="77"/>
      <c r="G507" s="77"/>
      <c r="H507" s="77"/>
      <c r="I507" s="77"/>
      <c r="J507" s="97"/>
      <c r="K507" s="1"/>
      <c r="L507" s="1"/>
      <c r="M507" s="1"/>
      <c r="N507" s="1"/>
      <c r="O507" s="1"/>
      <c r="P507" s="1"/>
      <c r="Q507" s="1"/>
      <c r="R507" s="1"/>
      <c r="S507" s="1"/>
      <c r="T507" s="1"/>
      <c r="U507" s="1"/>
      <c r="V507" s="1"/>
      <c r="W507" s="1"/>
      <c r="X507" s="1"/>
    </row>
    <row r="508" spans="1:24" ht="14.25" customHeight="1" x14ac:dyDescent="0.2">
      <c r="A508" s="79"/>
      <c r="B508" s="76"/>
      <c r="C508" s="76"/>
      <c r="D508" s="78"/>
      <c r="E508" s="77"/>
      <c r="F508" s="77"/>
      <c r="G508" s="77"/>
      <c r="H508" s="77"/>
      <c r="I508" s="77"/>
      <c r="J508" s="97"/>
      <c r="K508" s="1"/>
      <c r="L508" s="1"/>
      <c r="M508" s="1"/>
      <c r="N508" s="1"/>
      <c r="O508" s="1"/>
      <c r="P508" s="1"/>
      <c r="Q508" s="1"/>
      <c r="R508" s="1"/>
      <c r="S508" s="1"/>
      <c r="T508" s="1"/>
      <c r="U508" s="1"/>
      <c r="V508" s="1"/>
      <c r="W508" s="1"/>
      <c r="X508" s="1"/>
    </row>
    <row r="509" spans="1:24" ht="14.25" customHeight="1" x14ac:dyDescent="0.2">
      <c r="A509" s="79"/>
      <c r="B509" s="76"/>
      <c r="C509" s="76"/>
      <c r="D509" s="78"/>
      <c r="E509" s="77"/>
      <c r="F509" s="77"/>
      <c r="G509" s="77"/>
      <c r="H509" s="77"/>
      <c r="I509" s="77"/>
      <c r="J509" s="97"/>
      <c r="K509" s="1"/>
      <c r="L509" s="1"/>
      <c r="M509" s="1"/>
      <c r="N509" s="1"/>
      <c r="O509" s="1"/>
      <c r="P509" s="1"/>
      <c r="Q509" s="1"/>
      <c r="R509" s="1"/>
      <c r="S509" s="1"/>
      <c r="T509" s="1"/>
      <c r="U509" s="1"/>
      <c r="V509" s="1"/>
      <c r="W509" s="1"/>
      <c r="X509" s="1"/>
    </row>
    <row r="510" spans="1:24" ht="14.25" customHeight="1" x14ac:dyDescent="0.2">
      <c r="A510" s="79"/>
      <c r="B510" s="76"/>
      <c r="C510" s="76"/>
      <c r="D510" s="78"/>
      <c r="E510" s="77"/>
      <c r="F510" s="77"/>
      <c r="G510" s="77"/>
      <c r="H510" s="77"/>
      <c r="I510" s="77"/>
      <c r="J510" s="97"/>
      <c r="K510" s="1"/>
      <c r="L510" s="1"/>
      <c r="M510" s="1"/>
      <c r="N510" s="1"/>
      <c r="O510" s="1"/>
      <c r="P510" s="1"/>
      <c r="Q510" s="1"/>
      <c r="R510" s="1"/>
      <c r="S510" s="1"/>
      <c r="T510" s="1"/>
      <c r="U510" s="1"/>
      <c r="V510" s="1"/>
      <c r="W510" s="1"/>
      <c r="X510" s="1"/>
    </row>
    <row r="511" spans="1:24" ht="14.25" customHeight="1" x14ac:dyDescent="0.2">
      <c r="A511" s="79"/>
      <c r="B511" s="76"/>
      <c r="C511" s="76"/>
      <c r="D511" s="78"/>
      <c r="E511" s="77"/>
      <c r="F511" s="77"/>
      <c r="G511" s="77"/>
      <c r="H511" s="77"/>
      <c r="I511" s="77"/>
      <c r="J511" s="97"/>
      <c r="K511" s="1"/>
      <c r="L511" s="1"/>
      <c r="M511" s="1"/>
      <c r="N511" s="1"/>
      <c r="O511" s="1"/>
      <c r="P511" s="1"/>
      <c r="Q511" s="1"/>
      <c r="R511" s="1"/>
      <c r="S511" s="1"/>
      <c r="T511" s="1"/>
      <c r="U511" s="1"/>
      <c r="V511" s="1"/>
      <c r="W511" s="1"/>
      <c r="X511" s="1"/>
    </row>
    <row r="512" spans="1:24" ht="14.25" customHeight="1" x14ac:dyDescent="0.2">
      <c r="A512" s="79"/>
      <c r="B512" s="76"/>
      <c r="C512" s="76"/>
      <c r="D512" s="78"/>
      <c r="E512" s="77"/>
      <c r="F512" s="77"/>
      <c r="G512" s="77"/>
      <c r="H512" s="77"/>
      <c r="I512" s="77"/>
      <c r="J512" s="97"/>
      <c r="K512" s="1"/>
      <c r="L512" s="1"/>
      <c r="M512" s="1"/>
      <c r="N512" s="1"/>
      <c r="O512" s="1"/>
      <c r="P512" s="1"/>
      <c r="Q512" s="1"/>
      <c r="R512" s="1"/>
      <c r="S512" s="1"/>
      <c r="T512" s="1"/>
      <c r="U512" s="1"/>
      <c r="V512" s="1"/>
      <c r="W512" s="1"/>
      <c r="X512" s="1"/>
    </row>
    <row r="513" spans="1:24" ht="14.25" customHeight="1" x14ac:dyDescent="0.2">
      <c r="A513" s="79"/>
      <c r="B513" s="76"/>
      <c r="C513" s="76"/>
      <c r="D513" s="78"/>
      <c r="E513" s="77"/>
      <c r="F513" s="77"/>
      <c r="G513" s="77"/>
      <c r="H513" s="77"/>
      <c r="I513" s="77"/>
      <c r="J513" s="97"/>
      <c r="K513" s="1"/>
      <c r="L513" s="1"/>
      <c r="M513" s="1"/>
      <c r="N513" s="1"/>
      <c r="O513" s="1"/>
      <c r="P513" s="1"/>
      <c r="Q513" s="1"/>
      <c r="R513" s="1"/>
      <c r="S513" s="1"/>
      <c r="T513" s="1"/>
      <c r="U513" s="1"/>
      <c r="V513" s="1"/>
      <c r="W513" s="1"/>
      <c r="X513" s="1"/>
    </row>
    <row r="514" spans="1:24" ht="14.25" customHeight="1" x14ac:dyDescent="0.2">
      <c r="A514" s="79"/>
      <c r="B514" s="76"/>
      <c r="C514" s="76"/>
      <c r="D514" s="78"/>
      <c r="E514" s="77"/>
      <c r="F514" s="77"/>
      <c r="G514" s="77"/>
      <c r="H514" s="77"/>
      <c r="I514" s="77"/>
      <c r="J514" s="97"/>
      <c r="K514" s="1"/>
      <c r="L514" s="1"/>
      <c r="M514" s="1"/>
      <c r="N514" s="1"/>
      <c r="O514" s="1"/>
      <c r="P514" s="1"/>
      <c r="Q514" s="1"/>
      <c r="R514" s="1"/>
      <c r="S514" s="1"/>
      <c r="T514" s="1"/>
      <c r="U514" s="1"/>
      <c r="V514" s="1"/>
      <c r="W514" s="1"/>
      <c r="X514" s="1"/>
    </row>
    <row r="515" spans="1:24" ht="14.25" customHeight="1" x14ac:dyDescent="0.2">
      <c r="A515" s="79"/>
      <c r="B515" s="76"/>
      <c r="C515" s="76"/>
      <c r="D515" s="78"/>
      <c r="E515" s="77"/>
      <c r="F515" s="77"/>
      <c r="G515" s="77"/>
      <c r="H515" s="77"/>
      <c r="I515" s="77"/>
      <c r="J515" s="97"/>
      <c r="K515" s="1"/>
      <c r="L515" s="1"/>
      <c r="M515" s="1"/>
      <c r="N515" s="1"/>
      <c r="O515" s="1"/>
      <c r="P515" s="1"/>
      <c r="Q515" s="1"/>
      <c r="R515" s="1"/>
      <c r="S515" s="1"/>
      <c r="T515" s="1"/>
      <c r="U515" s="1"/>
      <c r="V515" s="1"/>
      <c r="W515" s="1"/>
      <c r="X515" s="1"/>
    </row>
    <row r="516" spans="1:24" ht="14.25" customHeight="1" x14ac:dyDescent="0.2">
      <c r="A516" s="79"/>
      <c r="B516" s="76"/>
      <c r="C516" s="76"/>
      <c r="D516" s="78"/>
      <c r="E516" s="77"/>
      <c r="F516" s="77"/>
      <c r="G516" s="77"/>
      <c r="H516" s="77"/>
      <c r="I516" s="77"/>
      <c r="J516" s="97"/>
      <c r="K516" s="1"/>
      <c r="L516" s="1"/>
      <c r="M516" s="1"/>
      <c r="N516" s="1"/>
      <c r="O516" s="1"/>
      <c r="P516" s="1"/>
      <c r="Q516" s="1"/>
      <c r="R516" s="1"/>
      <c r="S516" s="1"/>
      <c r="T516" s="1"/>
      <c r="U516" s="1"/>
      <c r="V516" s="1"/>
      <c r="W516" s="1"/>
      <c r="X516" s="1"/>
    </row>
    <row r="517" spans="1:24" ht="14.25" customHeight="1" x14ac:dyDescent="0.2">
      <c r="A517" s="79"/>
      <c r="B517" s="76"/>
      <c r="C517" s="76"/>
      <c r="D517" s="78"/>
      <c r="E517" s="77"/>
      <c r="F517" s="77"/>
      <c r="G517" s="77"/>
      <c r="H517" s="77"/>
      <c r="I517" s="77"/>
      <c r="J517" s="97"/>
      <c r="K517" s="1"/>
      <c r="L517" s="1"/>
      <c r="M517" s="1"/>
      <c r="N517" s="1"/>
      <c r="O517" s="1"/>
      <c r="P517" s="1"/>
      <c r="Q517" s="1"/>
      <c r="R517" s="1"/>
      <c r="S517" s="1"/>
      <c r="T517" s="1"/>
      <c r="U517" s="1"/>
      <c r="V517" s="1"/>
      <c r="W517" s="1"/>
      <c r="X517" s="1"/>
    </row>
    <row r="518" spans="1:24" ht="14.25" customHeight="1" x14ac:dyDescent="0.2">
      <c r="A518" s="79"/>
      <c r="B518" s="76"/>
      <c r="C518" s="76"/>
      <c r="D518" s="78"/>
      <c r="E518" s="77"/>
      <c r="F518" s="77"/>
      <c r="G518" s="77"/>
      <c r="H518" s="77"/>
      <c r="I518" s="77"/>
      <c r="J518" s="97"/>
      <c r="K518" s="1"/>
      <c r="L518" s="1"/>
      <c r="M518" s="1"/>
      <c r="N518" s="1"/>
      <c r="O518" s="1"/>
      <c r="P518" s="1"/>
      <c r="Q518" s="1"/>
      <c r="R518" s="1"/>
      <c r="S518" s="1"/>
      <c r="T518" s="1"/>
      <c r="U518" s="1"/>
      <c r="V518" s="1"/>
      <c r="W518" s="1"/>
      <c r="X518" s="1"/>
    </row>
    <row r="519" spans="1:24" ht="14.25" customHeight="1" x14ac:dyDescent="0.2">
      <c r="A519" s="79"/>
      <c r="B519" s="76"/>
      <c r="C519" s="76"/>
      <c r="D519" s="78"/>
      <c r="E519" s="77"/>
      <c r="F519" s="77"/>
      <c r="G519" s="77"/>
      <c r="H519" s="77"/>
      <c r="I519" s="77"/>
      <c r="J519" s="97"/>
      <c r="K519" s="1"/>
      <c r="L519" s="1"/>
      <c r="M519" s="1"/>
      <c r="N519" s="1"/>
      <c r="O519" s="1"/>
      <c r="P519" s="1"/>
      <c r="Q519" s="1"/>
      <c r="R519" s="1"/>
      <c r="S519" s="1"/>
      <c r="T519" s="1"/>
      <c r="U519" s="1"/>
      <c r="V519" s="1"/>
      <c r="W519" s="1"/>
      <c r="X519" s="1"/>
    </row>
    <row r="520" spans="1:24" ht="14.25" customHeight="1" x14ac:dyDescent="0.2">
      <c r="A520" s="79"/>
      <c r="B520" s="76"/>
      <c r="C520" s="76"/>
      <c r="D520" s="78"/>
      <c r="E520" s="77"/>
      <c r="F520" s="77"/>
      <c r="G520" s="77"/>
      <c r="H520" s="77"/>
      <c r="I520" s="77"/>
      <c r="J520" s="97"/>
      <c r="K520" s="1"/>
      <c r="L520" s="1"/>
      <c r="M520" s="1"/>
      <c r="N520" s="1"/>
      <c r="O520" s="1"/>
      <c r="P520" s="1"/>
      <c r="Q520" s="1"/>
      <c r="R520" s="1"/>
      <c r="S520" s="1"/>
      <c r="T520" s="1"/>
      <c r="U520" s="1"/>
      <c r="V520" s="1"/>
      <c r="W520" s="1"/>
      <c r="X520" s="1"/>
    </row>
    <row r="521" spans="1:24" ht="14.25" customHeight="1" x14ac:dyDescent="0.2">
      <c r="A521" s="79"/>
      <c r="B521" s="76"/>
      <c r="C521" s="76"/>
      <c r="D521" s="78"/>
      <c r="E521" s="77"/>
      <c r="F521" s="77"/>
      <c r="G521" s="77"/>
      <c r="H521" s="77"/>
      <c r="I521" s="77"/>
      <c r="J521" s="97"/>
      <c r="K521" s="1"/>
      <c r="L521" s="1"/>
      <c r="M521" s="1"/>
      <c r="N521" s="1"/>
      <c r="O521" s="1"/>
      <c r="P521" s="1"/>
      <c r="Q521" s="1"/>
      <c r="R521" s="1"/>
      <c r="S521" s="1"/>
      <c r="T521" s="1"/>
      <c r="U521" s="1"/>
      <c r="V521" s="1"/>
      <c r="W521" s="1"/>
      <c r="X521" s="1"/>
    </row>
    <row r="522" spans="1:24" ht="14.25" customHeight="1" x14ac:dyDescent="0.2">
      <c r="A522" s="79"/>
      <c r="B522" s="76"/>
      <c r="C522" s="76"/>
      <c r="D522" s="78"/>
      <c r="E522" s="77"/>
      <c r="F522" s="77"/>
      <c r="G522" s="77"/>
      <c r="H522" s="77"/>
      <c r="I522" s="77"/>
      <c r="J522" s="97"/>
      <c r="K522" s="1"/>
      <c r="L522" s="1"/>
      <c r="M522" s="1"/>
      <c r="N522" s="1"/>
      <c r="O522" s="1"/>
      <c r="P522" s="1"/>
      <c r="Q522" s="1"/>
      <c r="R522" s="1"/>
      <c r="S522" s="1"/>
      <c r="T522" s="1"/>
      <c r="U522" s="1"/>
      <c r="V522" s="1"/>
      <c r="W522" s="1"/>
      <c r="X522" s="1"/>
    </row>
    <row r="523" spans="1:24" ht="14.25" customHeight="1" x14ac:dyDescent="0.2">
      <c r="A523" s="79"/>
      <c r="B523" s="76"/>
      <c r="C523" s="76"/>
      <c r="D523" s="78"/>
      <c r="E523" s="77"/>
      <c r="F523" s="77"/>
      <c r="G523" s="77"/>
      <c r="H523" s="77"/>
      <c r="I523" s="77"/>
      <c r="J523" s="97"/>
      <c r="K523" s="1"/>
      <c r="L523" s="1"/>
      <c r="M523" s="1"/>
      <c r="N523" s="1"/>
      <c r="O523" s="1"/>
      <c r="P523" s="1"/>
      <c r="Q523" s="1"/>
      <c r="R523" s="1"/>
      <c r="S523" s="1"/>
      <c r="T523" s="1"/>
      <c r="U523" s="1"/>
      <c r="V523" s="1"/>
      <c r="W523" s="1"/>
      <c r="X523" s="1"/>
    </row>
    <row r="524" spans="1:24" ht="14.25" customHeight="1" x14ac:dyDescent="0.2">
      <c r="A524" s="79"/>
      <c r="B524" s="76"/>
      <c r="C524" s="76"/>
      <c r="D524" s="78"/>
      <c r="E524" s="77"/>
      <c r="F524" s="77"/>
      <c r="G524" s="77"/>
      <c r="H524" s="77"/>
      <c r="I524" s="77"/>
      <c r="J524" s="97"/>
      <c r="K524" s="1"/>
      <c r="L524" s="1"/>
      <c r="M524" s="1"/>
      <c r="N524" s="1"/>
      <c r="O524" s="1"/>
      <c r="P524" s="1"/>
      <c r="Q524" s="1"/>
      <c r="R524" s="1"/>
      <c r="S524" s="1"/>
      <c r="T524" s="1"/>
      <c r="U524" s="1"/>
      <c r="V524" s="1"/>
      <c r="W524" s="1"/>
      <c r="X524" s="1"/>
    </row>
    <row r="525" spans="1:24" ht="14.25" customHeight="1" x14ac:dyDescent="0.2">
      <c r="A525" s="79"/>
      <c r="B525" s="76"/>
      <c r="C525" s="76"/>
      <c r="D525" s="78"/>
      <c r="E525" s="77"/>
      <c r="F525" s="77"/>
      <c r="G525" s="77"/>
      <c r="H525" s="77"/>
      <c r="I525" s="77"/>
      <c r="J525" s="97"/>
      <c r="K525" s="1"/>
      <c r="L525" s="1"/>
      <c r="M525" s="1"/>
      <c r="N525" s="1"/>
      <c r="O525" s="1"/>
      <c r="P525" s="1"/>
      <c r="Q525" s="1"/>
      <c r="R525" s="1"/>
      <c r="S525" s="1"/>
      <c r="T525" s="1"/>
      <c r="U525" s="1"/>
      <c r="V525" s="1"/>
      <c r="W525" s="1"/>
      <c r="X525" s="1"/>
    </row>
    <row r="526" spans="1:24" ht="14.25" customHeight="1" x14ac:dyDescent="0.2">
      <c r="A526" s="79"/>
      <c r="B526" s="76"/>
      <c r="C526" s="76"/>
      <c r="D526" s="78"/>
      <c r="E526" s="77"/>
      <c r="F526" s="77"/>
      <c r="G526" s="77"/>
      <c r="H526" s="77"/>
      <c r="I526" s="77"/>
      <c r="J526" s="97"/>
      <c r="K526" s="1"/>
      <c r="L526" s="1"/>
      <c r="M526" s="1"/>
      <c r="N526" s="1"/>
      <c r="O526" s="1"/>
      <c r="P526" s="1"/>
      <c r="Q526" s="1"/>
      <c r="R526" s="1"/>
      <c r="S526" s="1"/>
      <c r="T526" s="1"/>
      <c r="U526" s="1"/>
      <c r="V526" s="1"/>
      <c r="W526" s="1"/>
      <c r="X526" s="1"/>
    </row>
    <row r="527" spans="1:24" ht="14.25" customHeight="1" x14ac:dyDescent="0.2">
      <c r="A527" s="79"/>
      <c r="B527" s="76"/>
      <c r="C527" s="76"/>
      <c r="D527" s="78"/>
      <c r="E527" s="77"/>
      <c r="F527" s="77"/>
      <c r="G527" s="77"/>
      <c r="H527" s="77"/>
      <c r="I527" s="77"/>
      <c r="J527" s="97"/>
      <c r="K527" s="1"/>
      <c r="L527" s="1"/>
      <c r="M527" s="1"/>
      <c r="N527" s="1"/>
      <c r="O527" s="1"/>
      <c r="P527" s="1"/>
      <c r="Q527" s="1"/>
      <c r="R527" s="1"/>
      <c r="S527" s="1"/>
      <c r="T527" s="1"/>
      <c r="U527" s="1"/>
      <c r="V527" s="1"/>
      <c r="W527" s="1"/>
      <c r="X527" s="1"/>
    </row>
    <row r="528" spans="1:24" ht="14.25" customHeight="1" x14ac:dyDescent="0.2">
      <c r="A528" s="79"/>
      <c r="B528" s="76"/>
      <c r="C528" s="76"/>
      <c r="D528" s="78"/>
      <c r="E528" s="77"/>
      <c r="F528" s="77"/>
      <c r="G528" s="77"/>
      <c r="H528" s="77"/>
      <c r="I528" s="77"/>
      <c r="J528" s="97"/>
      <c r="K528" s="1"/>
      <c r="L528" s="1"/>
      <c r="M528" s="1"/>
      <c r="N528" s="1"/>
      <c r="O528" s="1"/>
      <c r="P528" s="1"/>
      <c r="Q528" s="1"/>
      <c r="R528" s="1"/>
      <c r="S528" s="1"/>
      <c r="T528" s="1"/>
      <c r="U528" s="1"/>
      <c r="V528" s="1"/>
      <c r="W528" s="1"/>
      <c r="X528" s="1"/>
    </row>
    <row r="529" spans="1:24" ht="14.25" customHeight="1" x14ac:dyDescent="0.2">
      <c r="A529" s="79"/>
      <c r="B529" s="76"/>
      <c r="C529" s="76"/>
      <c r="D529" s="78"/>
      <c r="E529" s="77"/>
      <c r="F529" s="77"/>
      <c r="G529" s="77"/>
      <c r="H529" s="77"/>
      <c r="I529" s="77"/>
      <c r="J529" s="97"/>
      <c r="K529" s="1"/>
      <c r="L529" s="1"/>
      <c r="M529" s="1"/>
      <c r="N529" s="1"/>
      <c r="O529" s="1"/>
      <c r="P529" s="1"/>
      <c r="Q529" s="1"/>
      <c r="R529" s="1"/>
      <c r="S529" s="1"/>
      <c r="T529" s="1"/>
      <c r="U529" s="1"/>
      <c r="V529" s="1"/>
      <c r="W529" s="1"/>
      <c r="X529" s="1"/>
    </row>
    <row r="530" spans="1:24" ht="14.25" customHeight="1" x14ac:dyDescent="0.2">
      <c r="A530" s="79"/>
      <c r="B530" s="76"/>
      <c r="C530" s="76"/>
      <c r="D530" s="78"/>
      <c r="E530" s="77"/>
      <c r="F530" s="77"/>
      <c r="G530" s="77"/>
      <c r="H530" s="77"/>
      <c r="I530" s="77"/>
      <c r="J530" s="97"/>
      <c r="K530" s="1"/>
      <c r="L530" s="1"/>
      <c r="M530" s="1"/>
      <c r="N530" s="1"/>
      <c r="O530" s="1"/>
      <c r="P530" s="1"/>
      <c r="Q530" s="1"/>
      <c r="R530" s="1"/>
      <c r="S530" s="1"/>
      <c r="T530" s="1"/>
      <c r="U530" s="1"/>
      <c r="V530" s="1"/>
      <c r="W530" s="1"/>
      <c r="X530" s="1"/>
    </row>
    <row r="531" spans="1:24" ht="14.25" customHeight="1" x14ac:dyDescent="0.2">
      <c r="A531" s="79"/>
      <c r="B531" s="76"/>
      <c r="C531" s="76"/>
      <c r="D531" s="78"/>
      <c r="E531" s="77"/>
      <c r="F531" s="77"/>
      <c r="G531" s="77"/>
      <c r="H531" s="77"/>
      <c r="I531" s="77"/>
      <c r="J531" s="97"/>
      <c r="K531" s="1"/>
      <c r="L531" s="1"/>
      <c r="M531" s="1"/>
      <c r="N531" s="1"/>
      <c r="O531" s="1"/>
      <c r="P531" s="1"/>
      <c r="Q531" s="1"/>
      <c r="R531" s="1"/>
      <c r="S531" s="1"/>
      <c r="T531" s="1"/>
      <c r="U531" s="1"/>
      <c r="V531" s="1"/>
      <c r="W531" s="1"/>
      <c r="X531" s="1"/>
    </row>
    <row r="532" spans="1:24" ht="14.25" customHeight="1" x14ac:dyDescent="0.2">
      <c r="A532" s="79"/>
      <c r="B532" s="76"/>
      <c r="C532" s="76"/>
      <c r="D532" s="78"/>
      <c r="E532" s="77"/>
      <c r="F532" s="77"/>
      <c r="G532" s="77"/>
      <c r="H532" s="77"/>
      <c r="I532" s="77"/>
      <c r="J532" s="97"/>
      <c r="K532" s="1"/>
      <c r="L532" s="1"/>
      <c r="M532" s="1"/>
      <c r="N532" s="1"/>
      <c r="O532" s="1"/>
      <c r="P532" s="1"/>
      <c r="Q532" s="1"/>
      <c r="R532" s="1"/>
      <c r="S532" s="1"/>
      <c r="T532" s="1"/>
      <c r="U532" s="1"/>
      <c r="V532" s="1"/>
      <c r="W532" s="1"/>
      <c r="X532" s="1"/>
    </row>
    <row r="533" spans="1:24" ht="14.25" customHeight="1" x14ac:dyDescent="0.2">
      <c r="A533" s="79"/>
      <c r="B533" s="76"/>
      <c r="C533" s="76"/>
      <c r="D533" s="78"/>
      <c r="E533" s="77"/>
      <c r="F533" s="77"/>
      <c r="G533" s="77"/>
      <c r="H533" s="77"/>
      <c r="I533" s="77"/>
      <c r="J533" s="97"/>
      <c r="K533" s="1"/>
      <c r="L533" s="1"/>
      <c r="M533" s="1"/>
      <c r="N533" s="1"/>
      <c r="O533" s="1"/>
      <c r="P533" s="1"/>
      <c r="Q533" s="1"/>
      <c r="R533" s="1"/>
      <c r="S533" s="1"/>
      <c r="T533" s="1"/>
      <c r="U533" s="1"/>
      <c r="V533" s="1"/>
      <c r="W533" s="1"/>
      <c r="X533" s="1"/>
    </row>
    <row r="534" spans="1:24" ht="14.25" customHeight="1" x14ac:dyDescent="0.2">
      <c r="A534" s="79"/>
      <c r="B534" s="76"/>
      <c r="C534" s="76"/>
      <c r="D534" s="78"/>
      <c r="E534" s="77"/>
      <c r="F534" s="77"/>
      <c r="G534" s="77"/>
      <c r="H534" s="77"/>
      <c r="I534" s="77"/>
      <c r="J534" s="97"/>
      <c r="K534" s="1"/>
      <c r="L534" s="1"/>
      <c r="M534" s="1"/>
      <c r="N534" s="1"/>
      <c r="O534" s="1"/>
      <c r="P534" s="1"/>
      <c r="Q534" s="1"/>
      <c r="R534" s="1"/>
      <c r="S534" s="1"/>
      <c r="T534" s="1"/>
      <c r="U534" s="1"/>
      <c r="V534" s="1"/>
      <c r="W534" s="1"/>
      <c r="X534" s="1"/>
    </row>
    <row r="535" spans="1:24" ht="14.25" customHeight="1" x14ac:dyDescent="0.2">
      <c r="A535" s="79"/>
      <c r="B535" s="76"/>
      <c r="C535" s="76"/>
      <c r="D535" s="78"/>
      <c r="E535" s="77"/>
      <c r="F535" s="77"/>
      <c r="G535" s="77"/>
      <c r="H535" s="77"/>
      <c r="I535" s="77"/>
      <c r="J535" s="97"/>
      <c r="K535" s="1"/>
      <c r="L535" s="1"/>
      <c r="M535" s="1"/>
      <c r="N535" s="1"/>
      <c r="O535" s="1"/>
      <c r="P535" s="1"/>
      <c r="Q535" s="1"/>
      <c r="R535" s="1"/>
      <c r="S535" s="1"/>
      <c r="T535" s="1"/>
      <c r="U535" s="1"/>
      <c r="V535" s="1"/>
      <c r="W535" s="1"/>
      <c r="X535" s="1"/>
    </row>
    <row r="536" spans="1:24" ht="14.25" customHeight="1" x14ac:dyDescent="0.2">
      <c r="A536" s="79"/>
      <c r="B536" s="76"/>
      <c r="C536" s="76"/>
      <c r="D536" s="78"/>
      <c r="E536" s="77"/>
      <c r="F536" s="77"/>
      <c r="G536" s="77"/>
      <c r="H536" s="77"/>
      <c r="I536" s="77"/>
      <c r="J536" s="97"/>
      <c r="K536" s="1"/>
      <c r="L536" s="1"/>
      <c r="M536" s="1"/>
      <c r="N536" s="1"/>
      <c r="O536" s="1"/>
      <c r="P536" s="1"/>
      <c r="Q536" s="1"/>
      <c r="R536" s="1"/>
      <c r="S536" s="1"/>
      <c r="T536" s="1"/>
      <c r="U536" s="1"/>
      <c r="V536" s="1"/>
      <c r="W536" s="1"/>
      <c r="X536" s="1"/>
    </row>
    <row r="537" spans="1:24" ht="14.25" customHeight="1" x14ac:dyDescent="0.2">
      <c r="A537" s="79"/>
      <c r="B537" s="76"/>
      <c r="C537" s="76"/>
      <c r="D537" s="78"/>
      <c r="E537" s="77"/>
      <c r="F537" s="77"/>
      <c r="G537" s="77"/>
      <c r="H537" s="77"/>
      <c r="I537" s="77"/>
      <c r="J537" s="97"/>
      <c r="K537" s="1"/>
      <c r="L537" s="1"/>
      <c r="M537" s="1"/>
      <c r="N537" s="1"/>
      <c r="O537" s="1"/>
      <c r="P537" s="1"/>
      <c r="Q537" s="1"/>
      <c r="R537" s="1"/>
      <c r="S537" s="1"/>
      <c r="T537" s="1"/>
      <c r="U537" s="1"/>
      <c r="V537" s="1"/>
      <c r="W537" s="1"/>
      <c r="X537" s="1"/>
    </row>
    <row r="538" spans="1:24" ht="14.25" customHeight="1" x14ac:dyDescent="0.2">
      <c r="A538" s="79"/>
      <c r="B538" s="76"/>
      <c r="C538" s="76"/>
      <c r="D538" s="78"/>
      <c r="E538" s="77"/>
      <c r="F538" s="77"/>
      <c r="G538" s="77"/>
      <c r="H538" s="77"/>
      <c r="I538" s="77"/>
      <c r="J538" s="97"/>
      <c r="K538" s="1"/>
      <c r="L538" s="1"/>
      <c r="M538" s="1"/>
      <c r="N538" s="1"/>
      <c r="O538" s="1"/>
      <c r="P538" s="1"/>
      <c r="Q538" s="1"/>
      <c r="R538" s="1"/>
      <c r="S538" s="1"/>
      <c r="T538" s="1"/>
      <c r="U538" s="1"/>
      <c r="V538" s="1"/>
      <c r="W538" s="1"/>
      <c r="X538" s="1"/>
    </row>
    <row r="539" spans="1:24" ht="14.25" customHeight="1" x14ac:dyDescent="0.2">
      <c r="A539" s="79"/>
      <c r="B539" s="76"/>
      <c r="C539" s="76"/>
      <c r="D539" s="78"/>
      <c r="E539" s="77"/>
      <c r="F539" s="77"/>
      <c r="G539" s="77"/>
      <c r="H539" s="77"/>
      <c r="I539" s="77"/>
      <c r="J539" s="97"/>
      <c r="K539" s="1"/>
      <c r="L539" s="1"/>
      <c r="M539" s="1"/>
      <c r="N539" s="1"/>
      <c r="O539" s="1"/>
      <c r="P539" s="1"/>
      <c r="Q539" s="1"/>
      <c r="R539" s="1"/>
      <c r="S539" s="1"/>
      <c r="T539" s="1"/>
      <c r="U539" s="1"/>
      <c r="V539" s="1"/>
      <c r="W539" s="1"/>
      <c r="X539" s="1"/>
    </row>
    <row r="540" spans="1:24" ht="14.25" customHeight="1" x14ac:dyDescent="0.2">
      <c r="A540" s="79"/>
      <c r="B540" s="76"/>
      <c r="C540" s="76"/>
      <c r="D540" s="78"/>
      <c r="E540" s="77"/>
      <c r="F540" s="77"/>
      <c r="G540" s="77"/>
      <c r="H540" s="77"/>
      <c r="I540" s="77"/>
      <c r="J540" s="97"/>
      <c r="K540" s="1"/>
      <c r="L540" s="1"/>
      <c r="M540" s="1"/>
      <c r="N540" s="1"/>
      <c r="O540" s="1"/>
      <c r="P540" s="1"/>
      <c r="Q540" s="1"/>
      <c r="R540" s="1"/>
      <c r="S540" s="1"/>
      <c r="T540" s="1"/>
      <c r="U540" s="1"/>
      <c r="V540" s="1"/>
      <c r="W540" s="1"/>
      <c r="X540" s="1"/>
    </row>
    <row r="541" spans="1:24" ht="14.25" customHeight="1" x14ac:dyDescent="0.2">
      <c r="A541" s="79"/>
      <c r="B541" s="76"/>
      <c r="C541" s="76"/>
      <c r="D541" s="78"/>
      <c r="E541" s="77"/>
      <c r="F541" s="77"/>
      <c r="G541" s="77"/>
      <c r="H541" s="77"/>
      <c r="I541" s="77"/>
      <c r="J541" s="97"/>
      <c r="K541" s="1"/>
      <c r="L541" s="1"/>
      <c r="M541" s="1"/>
      <c r="N541" s="1"/>
      <c r="O541" s="1"/>
      <c r="P541" s="1"/>
      <c r="Q541" s="1"/>
      <c r="R541" s="1"/>
      <c r="S541" s="1"/>
      <c r="T541" s="1"/>
      <c r="U541" s="1"/>
      <c r="V541" s="1"/>
      <c r="W541" s="1"/>
      <c r="X541" s="1"/>
    </row>
    <row r="542" spans="1:24" ht="14.25" customHeight="1" x14ac:dyDescent="0.2">
      <c r="A542" s="79"/>
      <c r="B542" s="76"/>
      <c r="C542" s="76"/>
      <c r="D542" s="78"/>
      <c r="E542" s="77"/>
      <c r="F542" s="77"/>
      <c r="G542" s="77"/>
      <c r="H542" s="77"/>
      <c r="I542" s="77"/>
      <c r="J542" s="97"/>
      <c r="K542" s="1"/>
      <c r="L542" s="1"/>
      <c r="M542" s="1"/>
      <c r="N542" s="1"/>
      <c r="O542" s="1"/>
      <c r="P542" s="1"/>
      <c r="Q542" s="1"/>
      <c r="R542" s="1"/>
      <c r="S542" s="1"/>
      <c r="T542" s="1"/>
      <c r="U542" s="1"/>
      <c r="V542" s="1"/>
      <c r="W542" s="1"/>
      <c r="X542" s="1"/>
    </row>
    <row r="543" spans="1:24" ht="14.25" customHeight="1" x14ac:dyDescent="0.2">
      <c r="A543" s="79"/>
      <c r="B543" s="76"/>
      <c r="C543" s="76"/>
      <c r="D543" s="78"/>
      <c r="E543" s="77"/>
      <c r="F543" s="77"/>
      <c r="G543" s="77"/>
      <c r="H543" s="77"/>
      <c r="I543" s="77"/>
      <c r="J543" s="97"/>
      <c r="K543" s="1"/>
      <c r="L543" s="1"/>
      <c r="M543" s="1"/>
      <c r="N543" s="1"/>
      <c r="O543" s="1"/>
      <c r="P543" s="1"/>
      <c r="Q543" s="1"/>
      <c r="R543" s="1"/>
      <c r="S543" s="1"/>
      <c r="T543" s="1"/>
      <c r="U543" s="1"/>
      <c r="V543" s="1"/>
      <c r="W543" s="1"/>
      <c r="X543" s="1"/>
    </row>
    <row r="544" spans="1:24" ht="14.25" customHeight="1" x14ac:dyDescent="0.2">
      <c r="A544" s="79"/>
      <c r="B544" s="76"/>
      <c r="C544" s="76"/>
      <c r="D544" s="78"/>
      <c r="E544" s="77"/>
      <c r="F544" s="77"/>
      <c r="G544" s="77"/>
      <c r="H544" s="77"/>
      <c r="I544" s="77"/>
      <c r="J544" s="97"/>
      <c r="K544" s="1"/>
      <c r="L544" s="1"/>
      <c r="M544" s="1"/>
      <c r="N544" s="1"/>
      <c r="O544" s="1"/>
      <c r="P544" s="1"/>
      <c r="Q544" s="1"/>
      <c r="R544" s="1"/>
      <c r="S544" s="1"/>
      <c r="T544" s="1"/>
      <c r="U544" s="1"/>
      <c r="V544" s="1"/>
      <c r="W544" s="1"/>
      <c r="X544" s="1"/>
    </row>
    <row r="545" spans="1:24" ht="14.25" customHeight="1" x14ac:dyDescent="0.2">
      <c r="A545" s="79"/>
      <c r="B545" s="76"/>
      <c r="C545" s="76"/>
      <c r="D545" s="78"/>
      <c r="E545" s="77"/>
      <c r="F545" s="77"/>
      <c r="G545" s="77"/>
      <c r="H545" s="77"/>
      <c r="I545" s="77"/>
      <c r="J545" s="97"/>
      <c r="K545" s="1"/>
      <c r="L545" s="1"/>
      <c r="M545" s="1"/>
      <c r="N545" s="1"/>
      <c r="O545" s="1"/>
      <c r="P545" s="1"/>
      <c r="Q545" s="1"/>
      <c r="R545" s="1"/>
      <c r="S545" s="1"/>
      <c r="T545" s="1"/>
      <c r="U545" s="1"/>
      <c r="V545" s="1"/>
      <c r="W545" s="1"/>
      <c r="X545" s="1"/>
    </row>
    <row r="546" spans="1:24" ht="14.25" customHeight="1" x14ac:dyDescent="0.2">
      <c r="A546" s="79"/>
      <c r="B546" s="76"/>
      <c r="C546" s="76"/>
      <c r="D546" s="78"/>
      <c r="E546" s="77"/>
      <c r="F546" s="77"/>
      <c r="G546" s="77"/>
      <c r="H546" s="77"/>
      <c r="I546" s="77"/>
      <c r="J546" s="97"/>
      <c r="K546" s="1"/>
      <c r="L546" s="1"/>
      <c r="M546" s="1"/>
      <c r="N546" s="1"/>
      <c r="O546" s="1"/>
      <c r="P546" s="1"/>
      <c r="Q546" s="1"/>
      <c r="R546" s="1"/>
      <c r="S546" s="1"/>
      <c r="T546" s="1"/>
      <c r="U546" s="1"/>
      <c r="V546" s="1"/>
      <c r="W546" s="1"/>
      <c r="X546" s="1"/>
    </row>
    <row r="547" spans="1:24" ht="14.25" customHeight="1" x14ac:dyDescent="0.2">
      <c r="A547" s="79"/>
      <c r="B547" s="76"/>
      <c r="C547" s="76"/>
      <c r="D547" s="78"/>
      <c r="E547" s="77"/>
      <c r="F547" s="77"/>
      <c r="G547" s="77"/>
      <c r="H547" s="77"/>
      <c r="I547" s="77"/>
      <c r="J547" s="97"/>
      <c r="K547" s="1"/>
      <c r="L547" s="1"/>
      <c r="M547" s="1"/>
      <c r="N547" s="1"/>
      <c r="O547" s="1"/>
      <c r="P547" s="1"/>
      <c r="Q547" s="1"/>
      <c r="R547" s="1"/>
      <c r="S547" s="1"/>
      <c r="T547" s="1"/>
      <c r="U547" s="1"/>
      <c r="V547" s="1"/>
      <c r="W547" s="1"/>
      <c r="X547" s="1"/>
    </row>
    <row r="548" spans="1:24" ht="14.25" customHeight="1" x14ac:dyDescent="0.2">
      <c r="A548" s="79"/>
      <c r="B548" s="76"/>
      <c r="C548" s="76"/>
      <c r="D548" s="78"/>
      <c r="E548" s="77"/>
      <c r="F548" s="77"/>
      <c r="G548" s="77"/>
      <c r="H548" s="77"/>
      <c r="I548" s="77"/>
      <c r="J548" s="97"/>
      <c r="K548" s="1"/>
      <c r="L548" s="1"/>
      <c r="M548" s="1"/>
      <c r="N548" s="1"/>
      <c r="O548" s="1"/>
      <c r="P548" s="1"/>
      <c r="Q548" s="1"/>
      <c r="R548" s="1"/>
      <c r="S548" s="1"/>
      <c r="T548" s="1"/>
      <c r="U548" s="1"/>
      <c r="V548" s="1"/>
      <c r="W548" s="1"/>
      <c r="X548" s="1"/>
    </row>
    <row r="549" spans="1:24" ht="14.25" customHeight="1" x14ac:dyDescent="0.2">
      <c r="A549" s="79"/>
      <c r="B549" s="76"/>
      <c r="C549" s="76"/>
      <c r="D549" s="78"/>
      <c r="E549" s="77"/>
      <c r="F549" s="77"/>
      <c r="G549" s="77"/>
      <c r="H549" s="77"/>
      <c r="I549" s="77"/>
      <c r="J549" s="97"/>
      <c r="K549" s="1"/>
      <c r="L549" s="1"/>
      <c r="M549" s="1"/>
      <c r="N549" s="1"/>
      <c r="O549" s="1"/>
      <c r="P549" s="1"/>
      <c r="Q549" s="1"/>
      <c r="R549" s="1"/>
      <c r="S549" s="1"/>
      <c r="T549" s="1"/>
      <c r="U549" s="1"/>
      <c r="V549" s="1"/>
      <c r="W549" s="1"/>
      <c r="X549" s="1"/>
    </row>
    <row r="550" spans="1:24" ht="14.25" customHeight="1" x14ac:dyDescent="0.2">
      <c r="A550" s="79"/>
      <c r="B550" s="76"/>
      <c r="C550" s="76"/>
      <c r="D550" s="78"/>
      <c r="E550" s="77"/>
      <c r="F550" s="77"/>
      <c r="G550" s="77"/>
      <c r="H550" s="77"/>
      <c r="I550" s="77"/>
      <c r="J550" s="97"/>
      <c r="K550" s="1"/>
      <c r="L550" s="1"/>
      <c r="M550" s="1"/>
      <c r="N550" s="1"/>
      <c r="O550" s="1"/>
      <c r="P550" s="1"/>
      <c r="Q550" s="1"/>
      <c r="R550" s="1"/>
      <c r="S550" s="1"/>
      <c r="T550" s="1"/>
      <c r="U550" s="1"/>
      <c r="V550" s="1"/>
      <c r="W550" s="1"/>
      <c r="X550" s="1"/>
    </row>
    <row r="551" spans="1:24" ht="14.25" customHeight="1" x14ac:dyDescent="0.2">
      <c r="A551" s="79"/>
      <c r="B551" s="76"/>
      <c r="C551" s="76"/>
      <c r="D551" s="78"/>
      <c r="E551" s="77"/>
      <c r="F551" s="77"/>
      <c r="G551" s="77"/>
      <c r="H551" s="77"/>
      <c r="I551" s="77"/>
      <c r="J551" s="97"/>
      <c r="K551" s="1"/>
      <c r="L551" s="1"/>
      <c r="M551" s="1"/>
      <c r="N551" s="1"/>
      <c r="O551" s="1"/>
      <c r="P551" s="1"/>
      <c r="Q551" s="1"/>
      <c r="R551" s="1"/>
      <c r="S551" s="1"/>
      <c r="T551" s="1"/>
      <c r="U551" s="1"/>
      <c r="V551" s="1"/>
      <c r="W551" s="1"/>
      <c r="X551" s="1"/>
    </row>
    <row r="552" spans="1:24" ht="14.25" customHeight="1" x14ac:dyDescent="0.2">
      <c r="A552" s="79"/>
      <c r="B552" s="76"/>
      <c r="C552" s="76"/>
      <c r="D552" s="78"/>
      <c r="E552" s="77"/>
      <c r="F552" s="77"/>
      <c r="G552" s="77"/>
      <c r="H552" s="77"/>
      <c r="I552" s="77"/>
      <c r="J552" s="97"/>
      <c r="K552" s="1"/>
      <c r="L552" s="1"/>
      <c r="M552" s="1"/>
      <c r="N552" s="1"/>
      <c r="O552" s="1"/>
      <c r="P552" s="1"/>
      <c r="Q552" s="1"/>
      <c r="R552" s="1"/>
      <c r="S552" s="1"/>
      <c r="T552" s="1"/>
      <c r="U552" s="1"/>
      <c r="V552" s="1"/>
      <c r="W552" s="1"/>
      <c r="X552" s="1"/>
    </row>
    <row r="553" spans="1:24" ht="14.25" customHeight="1" x14ac:dyDescent="0.2">
      <c r="A553" s="79"/>
      <c r="B553" s="76"/>
      <c r="C553" s="76"/>
      <c r="D553" s="78"/>
      <c r="E553" s="77"/>
      <c r="F553" s="77"/>
      <c r="G553" s="77"/>
      <c r="H553" s="77"/>
      <c r="I553" s="77"/>
      <c r="J553" s="97"/>
      <c r="K553" s="1"/>
      <c r="L553" s="1"/>
      <c r="M553" s="1"/>
      <c r="N553" s="1"/>
      <c r="O553" s="1"/>
      <c r="P553" s="1"/>
      <c r="Q553" s="1"/>
      <c r="R553" s="1"/>
      <c r="S553" s="1"/>
      <c r="T553" s="1"/>
      <c r="U553" s="1"/>
      <c r="V553" s="1"/>
      <c r="W553" s="1"/>
      <c r="X553" s="1"/>
    </row>
    <row r="554" spans="1:24" ht="14.25" customHeight="1" x14ac:dyDescent="0.2">
      <c r="A554" s="79"/>
      <c r="B554" s="76"/>
      <c r="C554" s="76"/>
      <c r="D554" s="78"/>
      <c r="E554" s="77"/>
      <c r="F554" s="77"/>
      <c r="G554" s="77"/>
      <c r="H554" s="77"/>
      <c r="I554" s="77"/>
      <c r="J554" s="97"/>
      <c r="K554" s="1"/>
      <c r="L554" s="1"/>
      <c r="M554" s="1"/>
      <c r="N554" s="1"/>
      <c r="O554" s="1"/>
      <c r="P554" s="1"/>
      <c r="Q554" s="1"/>
      <c r="R554" s="1"/>
      <c r="S554" s="1"/>
      <c r="T554" s="1"/>
      <c r="U554" s="1"/>
      <c r="V554" s="1"/>
      <c r="W554" s="1"/>
      <c r="X554" s="1"/>
    </row>
    <row r="555" spans="1:24" ht="14.25" customHeight="1" x14ac:dyDescent="0.2">
      <c r="A555" s="79"/>
      <c r="B555" s="76"/>
      <c r="C555" s="76"/>
      <c r="D555" s="78"/>
      <c r="E555" s="77"/>
      <c r="F555" s="77"/>
      <c r="G555" s="77"/>
      <c r="H555" s="77"/>
      <c r="I555" s="77"/>
      <c r="J555" s="97"/>
      <c r="K555" s="1"/>
      <c r="L555" s="1"/>
      <c r="M555" s="1"/>
      <c r="N555" s="1"/>
      <c r="O555" s="1"/>
      <c r="P555" s="1"/>
      <c r="Q555" s="1"/>
      <c r="R555" s="1"/>
      <c r="S555" s="1"/>
      <c r="T555" s="1"/>
      <c r="U555" s="1"/>
      <c r="V555" s="1"/>
      <c r="W555" s="1"/>
      <c r="X555" s="1"/>
    </row>
    <row r="556" spans="1:24" ht="14.25" customHeight="1" x14ac:dyDescent="0.2">
      <c r="A556" s="79"/>
      <c r="B556" s="76"/>
      <c r="C556" s="76"/>
      <c r="D556" s="78"/>
      <c r="E556" s="77"/>
      <c r="F556" s="77"/>
      <c r="G556" s="77"/>
      <c r="H556" s="77"/>
      <c r="I556" s="77"/>
      <c r="J556" s="97"/>
      <c r="K556" s="1"/>
      <c r="L556" s="1"/>
      <c r="M556" s="1"/>
      <c r="N556" s="1"/>
      <c r="O556" s="1"/>
      <c r="P556" s="1"/>
      <c r="Q556" s="1"/>
      <c r="R556" s="1"/>
      <c r="S556" s="1"/>
      <c r="T556" s="1"/>
      <c r="U556" s="1"/>
      <c r="V556" s="1"/>
      <c r="W556" s="1"/>
      <c r="X556" s="1"/>
    </row>
    <row r="557" spans="1:24" ht="14.25" customHeight="1" x14ac:dyDescent="0.2">
      <c r="A557" s="79"/>
      <c r="B557" s="76"/>
      <c r="C557" s="76"/>
      <c r="D557" s="78"/>
      <c r="E557" s="77"/>
      <c r="F557" s="77"/>
      <c r="G557" s="77"/>
      <c r="H557" s="77"/>
      <c r="I557" s="77"/>
      <c r="J557" s="97"/>
      <c r="K557" s="1"/>
      <c r="L557" s="1"/>
      <c r="M557" s="1"/>
      <c r="N557" s="1"/>
      <c r="O557" s="1"/>
      <c r="P557" s="1"/>
      <c r="Q557" s="1"/>
      <c r="R557" s="1"/>
      <c r="S557" s="1"/>
      <c r="T557" s="1"/>
      <c r="U557" s="1"/>
      <c r="V557" s="1"/>
      <c r="W557" s="1"/>
      <c r="X557" s="1"/>
    </row>
    <row r="558" spans="1:24" ht="14.25" customHeight="1" x14ac:dyDescent="0.2">
      <c r="A558" s="79"/>
      <c r="B558" s="76"/>
      <c r="C558" s="76"/>
      <c r="D558" s="78"/>
      <c r="E558" s="77"/>
      <c r="F558" s="77"/>
      <c r="G558" s="77"/>
      <c r="H558" s="77"/>
      <c r="I558" s="77"/>
      <c r="J558" s="97"/>
      <c r="K558" s="1"/>
      <c r="L558" s="1"/>
      <c r="M558" s="1"/>
      <c r="N558" s="1"/>
      <c r="O558" s="1"/>
      <c r="P558" s="1"/>
      <c r="Q558" s="1"/>
      <c r="R558" s="1"/>
      <c r="S558" s="1"/>
      <c r="T558" s="1"/>
      <c r="U558" s="1"/>
      <c r="V558" s="1"/>
      <c r="W558" s="1"/>
      <c r="X558" s="1"/>
    </row>
    <row r="559" spans="1:24" ht="14.25" customHeight="1" x14ac:dyDescent="0.2">
      <c r="A559" s="79"/>
      <c r="B559" s="76"/>
      <c r="C559" s="76"/>
      <c r="D559" s="78"/>
      <c r="E559" s="77"/>
      <c r="F559" s="77"/>
      <c r="G559" s="77"/>
      <c r="H559" s="77"/>
      <c r="I559" s="77"/>
      <c r="J559" s="97"/>
      <c r="K559" s="1"/>
      <c r="L559" s="1"/>
      <c r="M559" s="1"/>
      <c r="N559" s="1"/>
      <c r="O559" s="1"/>
      <c r="P559" s="1"/>
      <c r="Q559" s="1"/>
      <c r="R559" s="1"/>
      <c r="S559" s="1"/>
      <c r="T559" s="1"/>
      <c r="U559" s="1"/>
      <c r="V559" s="1"/>
      <c r="W559" s="1"/>
      <c r="X559" s="1"/>
    </row>
    <row r="560" spans="1:24" ht="14.25" customHeight="1" x14ac:dyDescent="0.2">
      <c r="A560" s="79"/>
      <c r="B560" s="76"/>
      <c r="C560" s="76"/>
      <c r="D560" s="78"/>
      <c r="E560" s="77"/>
      <c r="F560" s="77"/>
      <c r="G560" s="77"/>
      <c r="H560" s="77"/>
      <c r="I560" s="77"/>
      <c r="J560" s="97"/>
      <c r="K560" s="1"/>
      <c r="L560" s="1"/>
      <c r="M560" s="1"/>
      <c r="N560" s="1"/>
      <c r="O560" s="1"/>
      <c r="P560" s="1"/>
      <c r="Q560" s="1"/>
      <c r="R560" s="1"/>
      <c r="S560" s="1"/>
      <c r="T560" s="1"/>
      <c r="U560" s="1"/>
      <c r="V560" s="1"/>
      <c r="W560" s="1"/>
      <c r="X560" s="1"/>
    </row>
    <row r="561" spans="1:24" ht="14.25" customHeight="1" x14ac:dyDescent="0.2">
      <c r="A561" s="79"/>
      <c r="B561" s="76"/>
      <c r="C561" s="76"/>
      <c r="D561" s="78"/>
      <c r="E561" s="77"/>
      <c r="F561" s="77"/>
      <c r="G561" s="77"/>
      <c r="H561" s="77"/>
      <c r="I561" s="77"/>
      <c r="J561" s="97"/>
      <c r="K561" s="1"/>
      <c r="L561" s="1"/>
      <c r="M561" s="1"/>
      <c r="N561" s="1"/>
      <c r="O561" s="1"/>
      <c r="P561" s="1"/>
      <c r="Q561" s="1"/>
      <c r="R561" s="1"/>
      <c r="S561" s="1"/>
      <c r="T561" s="1"/>
      <c r="U561" s="1"/>
      <c r="V561" s="1"/>
      <c r="W561" s="1"/>
      <c r="X561" s="1"/>
    </row>
    <row r="562" spans="1:24" ht="14.25" customHeight="1" x14ac:dyDescent="0.2">
      <c r="A562" s="79"/>
      <c r="B562" s="76"/>
      <c r="C562" s="76"/>
      <c r="D562" s="78"/>
      <c r="E562" s="77"/>
      <c r="F562" s="77"/>
      <c r="G562" s="77"/>
      <c r="H562" s="77"/>
      <c r="I562" s="77"/>
      <c r="J562" s="97"/>
      <c r="K562" s="1"/>
      <c r="L562" s="1"/>
      <c r="M562" s="1"/>
      <c r="N562" s="1"/>
      <c r="O562" s="1"/>
      <c r="P562" s="1"/>
      <c r="Q562" s="1"/>
      <c r="R562" s="1"/>
      <c r="S562" s="1"/>
      <c r="T562" s="1"/>
      <c r="U562" s="1"/>
      <c r="V562" s="1"/>
      <c r="W562" s="1"/>
      <c r="X562" s="1"/>
    </row>
    <row r="563" spans="1:24" ht="14.25" customHeight="1" x14ac:dyDescent="0.2">
      <c r="A563" s="79"/>
      <c r="B563" s="76"/>
      <c r="C563" s="76"/>
      <c r="D563" s="78"/>
      <c r="E563" s="77"/>
      <c r="F563" s="77"/>
      <c r="G563" s="77"/>
      <c r="H563" s="77"/>
      <c r="I563" s="77"/>
      <c r="J563" s="97"/>
      <c r="K563" s="1"/>
      <c r="L563" s="1"/>
      <c r="M563" s="1"/>
      <c r="N563" s="1"/>
      <c r="O563" s="1"/>
      <c r="P563" s="1"/>
      <c r="Q563" s="1"/>
      <c r="R563" s="1"/>
      <c r="S563" s="1"/>
      <c r="T563" s="1"/>
      <c r="U563" s="1"/>
      <c r="V563" s="1"/>
      <c r="W563" s="1"/>
      <c r="X563" s="1"/>
    </row>
    <row r="564" spans="1:24" ht="14.25" customHeight="1" x14ac:dyDescent="0.2">
      <c r="A564" s="79"/>
      <c r="B564" s="76"/>
      <c r="C564" s="76"/>
      <c r="D564" s="78"/>
      <c r="E564" s="77"/>
      <c r="F564" s="77"/>
      <c r="G564" s="77"/>
      <c r="H564" s="77"/>
      <c r="I564" s="77"/>
      <c r="J564" s="97"/>
      <c r="K564" s="1"/>
      <c r="L564" s="1"/>
      <c r="M564" s="1"/>
      <c r="N564" s="1"/>
      <c r="O564" s="1"/>
      <c r="P564" s="1"/>
      <c r="Q564" s="1"/>
      <c r="R564" s="1"/>
      <c r="S564" s="1"/>
      <c r="T564" s="1"/>
      <c r="U564" s="1"/>
      <c r="V564" s="1"/>
      <c r="W564" s="1"/>
      <c r="X564" s="1"/>
    </row>
    <row r="565" spans="1:24" ht="14.25" customHeight="1" x14ac:dyDescent="0.2">
      <c r="A565" s="79"/>
      <c r="B565" s="76"/>
      <c r="C565" s="76"/>
      <c r="D565" s="78"/>
      <c r="E565" s="77"/>
      <c r="F565" s="77"/>
      <c r="G565" s="77"/>
      <c r="H565" s="77"/>
      <c r="I565" s="77"/>
      <c r="J565" s="97"/>
      <c r="K565" s="1"/>
      <c r="L565" s="1"/>
      <c r="M565" s="1"/>
      <c r="N565" s="1"/>
      <c r="O565" s="1"/>
      <c r="P565" s="1"/>
      <c r="Q565" s="1"/>
      <c r="R565" s="1"/>
      <c r="S565" s="1"/>
      <c r="T565" s="1"/>
      <c r="U565" s="1"/>
      <c r="V565" s="1"/>
      <c r="W565" s="1"/>
      <c r="X565" s="1"/>
    </row>
    <row r="566" spans="1:24" ht="14.25" customHeight="1" x14ac:dyDescent="0.2">
      <c r="A566" s="79"/>
      <c r="B566" s="76"/>
      <c r="C566" s="76"/>
      <c r="D566" s="78"/>
      <c r="E566" s="77"/>
      <c r="F566" s="77"/>
      <c r="G566" s="77"/>
      <c r="H566" s="77"/>
      <c r="I566" s="77"/>
      <c r="J566" s="97"/>
      <c r="K566" s="1"/>
      <c r="L566" s="1"/>
      <c r="M566" s="1"/>
      <c r="N566" s="1"/>
      <c r="O566" s="1"/>
      <c r="P566" s="1"/>
      <c r="Q566" s="1"/>
      <c r="R566" s="1"/>
      <c r="S566" s="1"/>
      <c r="T566" s="1"/>
      <c r="U566" s="1"/>
      <c r="V566" s="1"/>
      <c r="W566" s="1"/>
      <c r="X566" s="1"/>
    </row>
    <row r="567" spans="1:24" ht="14.25" customHeight="1" x14ac:dyDescent="0.2">
      <c r="A567" s="79"/>
      <c r="B567" s="76"/>
      <c r="C567" s="76"/>
      <c r="D567" s="78"/>
      <c r="E567" s="77"/>
      <c r="F567" s="77"/>
      <c r="G567" s="77"/>
      <c r="H567" s="77"/>
      <c r="I567" s="77"/>
      <c r="J567" s="97"/>
      <c r="K567" s="1"/>
      <c r="L567" s="1"/>
      <c r="M567" s="1"/>
      <c r="N567" s="1"/>
      <c r="O567" s="1"/>
      <c r="P567" s="1"/>
      <c r="Q567" s="1"/>
      <c r="R567" s="1"/>
      <c r="S567" s="1"/>
      <c r="T567" s="1"/>
      <c r="U567" s="1"/>
      <c r="V567" s="1"/>
      <c r="W567" s="1"/>
      <c r="X567" s="1"/>
    </row>
    <row r="568" spans="1:24" ht="14.25" customHeight="1" x14ac:dyDescent="0.2">
      <c r="A568" s="79"/>
      <c r="B568" s="76"/>
      <c r="C568" s="76"/>
      <c r="D568" s="78"/>
      <c r="E568" s="77"/>
      <c r="F568" s="77"/>
      <c r="G568" s="77"/>
      <c r="H568" s="77"/>
      <c r="I568" s="77"/>
      <c r="J568" s="97"/>
      <c r="K568" s="1"/>
      <c r="L568" s="1"/>
      <c r="M568" s="1"/>
      <c r="N568" s="1"/>
      <c r="O568" s="1"/>
      <c r="P568" s="1"/>
      <c r="Q568" s="1"/>
      <c r="R568" s="1"/>
      <c r="S568" s="1"/>
      <c r="T568" s="1"/>
      <c r="U568" s="1"/>
      <c r="V568" s="1"/>
      <c r="W568" s="1"/>
      <c r="X568" s="1"/>
    </row>
    <row r="569" spans="1:24" ht="14.25" customHeight="1" x14ac:dyDescent="0.2">
      <c r="A569" s="79"/>
      <c r="B569" s="76"/>
      <c r="C569" s="76"/>
      <c r="D569" s="78"/>
      <c r="E569" s="77"/>
      <c r="F569" s="77"/>
      <c r="G569" s="77"/>
      <c r="H569" s="77"/>
      <c r="I569" s="77"/>
      <c r="J569" s="97"/>
      <c r="K569" s="1"/>
      <c r="L569" s="1"/>
      <c r="M569" s="1"/>
      <c r="N569" s="1"/>
      <c r="O569" s="1"/>
      <c r="P569" s="1"/>
      <c r="Q569" s="1"/>
      <c r="R569" s="1"/>
      <c r="S569" s="1"/>
      <c r="T569" s="1"/>
      <c r="U569" s="1"/>
      <c r="V569" s="1"/>
      <c r="W569" s="1"/>
      <c r="X569" s="1"/>
    </row>
    <row r="570" spans="1:24" ht="14.25" customHeight="1" x14ac:dyDescent="0.2">
      <c r="A570" s="79"/>
      <c r="B570" s="76"/>
      <c r="C570" s="76"/>
      <c r="D570" s="78"/>
      <c r="E570" s="77"/>
      <c r="F570" s="77"/>
      <c r="G570" s="77"/>
      <c r="H570" s="77"/>
      <c r="I570" s="77"/>
      <c r="J570" s="97"/>
      <c r="K570" s="1"/>
      <c r="L570" s="1"/>
      <c r="M570" s="1"/>
      <c r="N570" s="1"/>
      <c r="O570" s="1"/>
      <c r="P570" s="1"/>
      <c r="Q570" s="1"/>
      <c r="R570" s="1"/>
      <c r="S570" s="1"/>
      <c r="T570" s="1"/>
      <c r="U570" s="1"/>
      <c r="V570" s="1"/>
      <c r="W570" s="1"/>
      <c r="X570" s="1"/>
    </row>
    <row r="571" spans="1:24" ht="14.25" customHeight="1" x14ac:dyDescent="0.2">
      <c r="A571" s="79"/>
      <c r="B571" s="76"/>
      <c r="C571" s="76"/>
      <c r="D571" s="78"/>
      <c r="E571" s="77"/>
      <c r="F571" s="77"/>
      <c r="G571" s="77"/>
      <c r="H571" s="77"/>
      <c r="I571" s="77"/>
      <c r="J571" s="97"/>
      <c r="K571" s="1"/>
      <c r="L571" s="1"/>
      <c r="M571" s="1"/>
      <c r="N571" s="1"/>
      <c r="O571" s="1"/>
      <c r="P571" s="1"/>
      <c r="Q571" s="1"/>
      <c r="R571" s="1"/>
      <c r="S571" s="1"/>
      <c r="T571" s="1"/>
      <c r="U571" s="1"/>
      <c r="V571" s="1"/>
      <c r="W571" s="1"/>
      <c r="X571" s="1"/>
    </row>
    <row r="572" spans="1:24" ht="14.25" customHeight="1" x14ac:dyDescent="0.2">
      <c r="A572" s="79"/>
      <c r="B572" s="76"/>
      <c r="C572" s="76"/>
      <c r="D572" s="78"/>
      <c r="E572" s="77"/>
      <c r="F572" s="77"/>
      <c r="G572" s="77"/>
      <c r="H572" s="77"/>
      <c r="I572" s="77"/>
      <c r="J572" s="97"/>
      <c r="K572" s="1"/>
      <c r="L572" s="1"/>
      <c r="M572" s="1"/>
      <c r="N572" s="1"/>
      <c r="O572" s="1"/>
      <c r="P572" s="1"/>
      <c r="Q572" s="1"/>
      <c r="R572" s="1"/>
      <c r="S572" s="1"/>
      <c r="T572" s="1"/>
      <c r="U572" s="1"/>
      <c r="V572" s="1"/>
      <c r="W572" s="1"/>
      <c r="X572" s="1"/>
    </row>
    <row r="573" spans="1:24" ht="14.25" customHeight="1" x14ac:dyDescent="0.2">
      <c r="A573" s="79"/>
      <c r="B573" s="76"/>
      <c r="C573" s="76"/>
      <c r="D573" s="78"/>
      <c r="E573" s="77"/>
      <c r="F573" s="77"/>
      <c r="G573" s="77"/>
      <c r="H573" s="77"/>
      <c r="I573" s="77"/>
      <c r="J573" s="97"/>
      <c r="K573" s="1"/>
      <c r="L573" s="1"/>
      <c r="M573" s="1"/>
      <c r="N573" s="1"/>
      <c r="O573" s="1"/>
      <c r="P573" s="1"/>
      <c r="Q573" s="1"/>
      <c r="R573" s="1"/>
      <c r="S573" s="1"/>
      <c r="T573" s="1"/>
      <c r="U573" s="1"/>
      <c r="V573" s="1"/>
      <c r="W573" s="1"/>
      <c r="X573" s="1"/>
    </row>
    <row r="574" spans="1:24" ht="14.25" customHeight="1" x14ac:dyDescent="0.2">
      <c r="A574" s="79"/>
      <c r="B574" s="76"/>
      <c r="C574" s="76"/>
      <c r="D574" s="78"/>
      <c r="E574" s="77"/>
      <c r="F574" s="77"/>
      <c r="G574" s="77"/>
      <c r="H574" s="77"/>
      <c r="I574" s="77"/>
      <c r="J574" s="97"/>
      <c r="K574" s="1"/>
      <c r="L574" s="1"/>
      <c r="M574" s="1"/>
      <c r="N574" s="1"/>
      <c r="O574" s="1"/>
      <c r="P574" s="1"/>
      <c r="Q574" s="1"/>
      <c r="R574" s="1"/>
      <c r="S574" s="1"/>
      <c r="T574" s="1"/>
      <c r="U574" s="1"/>
      <c r="V574" s="1"/>
      <c r="W574" s="1"/>
      <c r="X574" s="1"/>
    </row>
    <row r="575" spans="1:24" ht="14.25" customHeight="1" x14ac:dyDescent="0.2">
      <c r="A575" s="79"/>
      <c r="B575" s="76"/>
      <c r="C575" s="76"/>
      <c r="D575" s="78"/>
      <c r="E575" s="77"/>
      <c r="F575" s="77"/>
      <c r="G575" s="77"/>
      <c r="H575" s="77"/>
      <c r="I575" s="77"/>
      <c r="J575" s="97"/>
      <c r="K575" s="1"/>
      <c r="L575" s="1"/>
      <c r="M575" s="1"/>
      <c r="N575" s="1"/>
      <c r="O575" s="1"/>
      <c r="P575" s="1"/>
      <c r="Q575" s="1"/>
      <c r="R575" s="1"/>
      <c r="S575" s="1"/>
      <c r="T575" s="1"/>
      <c r="U575" s="1"/>
      <c r="V575" s="1"/>
      <c r="W575" s="1"/>
      <c r="X575" s="1"/>
    </row>
    <row r="576" spans="1:24" ht="14.25" customHeight="1" x14ac:dyDescent="0.2">
      <c r="A576" s="79"/>
      <c r="B576" s="76"/>
      <c r="C576" s="76"/>
      <c r="D576" s="78"/>
      <c r="E576" s="77"/>
      <c r="F576" s="77"/>
      <c r="G576" s="77"/>
      <c r="H576" s="77"/>
      <c r="I576" s="77"/>
      <c r="J576" s="97"/>
      <c r="K576" s="1"/>
      <c r="L576" s="1"/>
      <c r="M576" s="1"/>
      <c r="N576" s="1"/>
      <c r="O576" s="1"/>
      <c r="P576" s="1"/>
      <c r="Q576" s="1"/>
      <c r="R576" s="1"/>
      <c r="S576" s="1"/>
      <c r="T576" s="1"/>
      <c r="U576" s="1"/>
      <c r="V576" s="1"/>
      <c r="W576" s="1"/>
      <c r="X576" s="1"/>
    </row>
    <row r="577" spans="1:24" ht="14.25" customHeight="1" x14ac:dyDescent="0.2">
      <c r="A577" s="79"/>
      <c r="B577" s="76"/>
      <c r="C577" s="76"/>
      <c r="D577" s="78"/>
      <c r="E577" s="77"/>
      <c r="F577" s="77"/>
      <c r="G577" s="77"/>
      <c r="H577" s="77"/>
      <c r="I577" s="77"/>
      <c r="J577" s="97"/>
      <c r="K577" s="1"/>
      <c r="L577" s="1"/>
      <c r="M577" s="1"/>
      <c r="N577" s="1"/>
      <c r="O577" s="1"/>
      <c r="P577" s="1"/>
      <c r="Q577" s="1"/>
      <c r="R577" s="1"/>
      <c r="S577" s="1"/>
      <c r="T577" s="1"/>
      <c r="U577" s="1"/>
      <c r="V577" s="1"/>
      <c r="W577" s="1"/>
      <c r="X577" s="1"/>
    </row>
    <row r="578" spans="1:24" ht="14.25" customHeight="1" x14ac:dyDescent="0.2">
      <c r="A578" s="79"/>
      <c r="B578" s="76"/>
      <c r="C578" s="76"/>
      <c r="D578" s="78"/>
      <c r="E578" s="77"/>
      <c r="F578" s="77"/>
      <c r="G578" s="77"/>
      <c r="H578" s="77"/>
      <c r="I578" s="77"/>
      <c r="J578" s="97"/>
      <c r="K578" s="1"/>
      <c r="L578" s="1"/>
      <c r="M578" s="1"/>
      <c r="N578" s="1"/>
      <c r="O578" s="1"/>
      <c r="P578" s="1"/>
      <c r="Q578" s="1"/>
      <c r="R578" s="1"/>
      <c r="S578" s="1"/>
      <c r="T578" s="1"/>
      <c r="U578" s="1"/>
      <c r="V578" s="1"/>
      <c r="W578" s="1"/>
      <c r="X578" s="1"/>
    </row>
    <row r="579" spans="1:24" ht="14.25" customHeight="1" x14ac:dyDescent="0.2">
      <c r="A579" s="79"/>
      <c r="B579" s="76"/>
      <c r="C579" s="76"/>
      <c r="D579" s="78"/>
      <c r="E579" s="77"/>
      <c r="F579" s="77"/>
      <c r="G579" s="77"/>
      <c r="H579" s="77"/>
      <c r="I579" s="77"/>
      <c r="J579" s="97"/>
      <c r="K579" s="1"/>
      <c r="L579" s="1"/>
      <c r="M579" s="1"/>
      <c r="N579" s="1"/>
      <c r="O579" s="1"/>
      <c r="P579" s="1"/>
      <c r="Q579" s="1"/>
      <c r="R579" s="1"/>
      <c r="S579" s="1"/>
      <c r="T579" s="1"/>
      <c r="U579" s="1"/>
      <c r="V579" s="1"/>
      <c r="W579" s="1"/>
      <c r="X579" s="1"/>
    </row>
    <row r="580" spans="1:24" ht="14.25" customHeight="1" x14ac:dyDescent="0.2">
      <c r="A580" s="79"/>
      <c r="B580" s="76"/>
      <c r="C580" s="76"/>
      <c r="D580" s="78"/>
      <c r="E580" s="77"/>
      <c r="F580" s="77"/>
      <c r="G580" s="77"/>
      <c r="H580" s="77"/>
      <c r="I580" s="77"/>
      <c r="J580" s="97"/>
      <c r="K580" s="1"/>
      <c r="L580" s="1"/>
      <c r="M580" s="1"/>
      <c r="N580" s="1"/>
      <c r="O580" s="1"/>
      <c r="P580" s="1"/>
      <c r="Q580" s="1"/>
      <c r="R580" s="1"/>
      <c r="S580" s="1"/>
      <c r="T580" s="1"/>
      <c r="U580" s="1"/>
      <c r="V580" s="1"/>
      <c r="W580" s="1"/>
      <c r="X580" s="1"/>
    </row>
    <row r="581" spans="1:24" ht="14.25" customHeight="1" x14ac:dyDescent="0.2">
      <c r="A581" s="79"/>
      <c r="B581" s="76"/>
      <c r="C581" s="76"/>
      <c r="D581" s="78"/>
      <c r="E581" s="77"/>
      <c r="F581" s="77"/>
      <c r="G581" s="77"/>
      <c r="H581" s="77"/>
      <c r="I581" s="77"/>
      <c r="J581" s="97"/>
      <c r="K581" s="1"/>
      <c r="L581" s="1"/>
      <c r="M581" s="1"/>
      <c r="N581" s="1"/>
      <c r="O581" s="1"/>
      <c r="P581" s="1"/>
      <c r="Q581" s="1"/>
      <c r="R581" s="1"/>
      <c r="S581" s="1"/>
      <c r="T581" s="1"/>
      <c r="U581" s="1"/>
      <c r="V581" s="1"/>
      <c r="W581" s="1"/>
      <c r="X581" s="1"/>
    </row>
    <row r="582" spans="1:24" ht="14.25" customHeight="1" x14ac:dyDescent="0.2">
      <c r="A582" s="79"/>
      <c r="B582" s="76"/>
      <c r="C582" s="76"/>
      <c r="D582" s="78"/>
      <c r="E582" s="77"/>
      <c r="F582" s="77"/>
      <c r="G582" s="77"/>
      <c r="H582" s="77"/>
      <c r="I582" s="77"/>
      <c r="J582" s="97"/>
      <c r="K582" s="1"/>
      <c r="L582" s="1"/>
      <c r="M582" s="1"/>
      <c r="N582" s="1"/>
      <c r="O582" s="1"/>
      <c r="P582" s="1"/>
      <c r="Q582" s="1"/>
      <c r="R582" s="1"/>
      <c r="S582" s="1"/>
      <c r="T582" s="1"/>
      <c r="U582" s="1"/>
      <c r="V582" s="1"/>
      <c r="W582" s="1"/>
      <c r="X582" s="1"/>
    </row>
    <row r="583" spans="1:24" ht="14.25" customHeight="1" x14ac:dyDescent="0.2">
      <c r="A583" s="79"/>
      <c r="B583" s="76"/>
      <c r="C583" s="76"/>
      <c r="D583" s="78"/>
      <c r="E583" s="77"/>
      <c r="F583" s="77"/>
      <c r="G583" s="77"/>
      <c r="H583" s="77"/>
      <c r="I583" s="77"/>
      <c r="J583" s="97"/>
      <c r="K583" s="1"/>
      <c r="L583" s="1"/>
      <c r="M583" s="1"/>
      <c r="N583" s="1"/>
      <c r="O583" s="1"/>
      <c r="P583" s="1"/>
      <c r="Q583" s="1"/>
      <c r="R583" s="1"/>
      <c r="S583" s="1"/>
      <c r="T583" s="1"/>
      <c r="U583" s="1"/>
      <c r="V583" s="1"/>
      <c r="W583" s="1"/>
      <c r="X583" s="1"/>
    </row>
    <row r="584" spans="1:24" ht="14.25" customHeight="1" x14ac:dyDescent="0.2">
      <c r="A584" s="79"/>
      <c r="B584" s="76"/>
      <c r="C584" s="76"/>
      <c r="D584" s="78"/>
      <c r="E584" s="77"/>
      <c r="F584" s="77"/>
      <c r="G584" s="77"/>
      <c r="H584" s="77"/>
      <c r="I584" s="77"/>
      <c r="J584" s="97"/>
      <c r="K584" s="1"/>
      <c r="L584" s="1"/>
      <c r="M584" s="1"/>
      <c r="N584" s="1"/>
      <c r="O584" s="1"/>
      <c r="P584" s="1"/>
      <c r="Q584" s="1"/>
      <c r="R584" s="1"/>
      <c r="S584" s="1"/>
      <c r="T584" s="1"/>
      <c r="U584" s="1"/>
      <c r="V584" s="1"/>
      <c r="W584" s="1"/>
      <c r="X584" s="1"/>
    </row>
    <row r="585" spans="1:24" ht="14.25" customHeight="1" x14ac:dyDescent="0.2">
      <c r="A585" s="79"/>
      <c r="B585" s="76"/>
      <c r="C585" s="76"/>
      <c r="D585" s="78"/>
      <c r="E585" s="77"/>
      <c r="F585" s="77"/>
      <c r="G585" s="77"/>
      <c r="H585" s="77"/>
      <c r="I585" s="77"/>
      <c r="J585" s="97"/>
      <c r="K585" s="1"/>
      <c r="L585" s="1"/>
      <c r="M585" s="1"/>
      <c r="N585" s="1"/>
      <c r="O585" s="1"/>
      <c r="P585" s="1"/>
      <c r="Q585" s="1"/>
      <c r="R585" s="1"/>
      <c r="S585" s="1"/>
      <c r="T585" s="1"/>
      <c r="U585" s="1"/>
      <c r="V585" s="1"/>
      <c r="W585" s="1"/>
      <c r="X585" s="1"/>
    </row>
    <row r="586" spans="1:24" ht="14.25" customHeight="1" x14ac:dyDescent="0.2">
      <c r="A586" s="79"/>
      <c r="B586" s="76"/>
      <c r="C586" s="76"/>
      <c r="D586" s="78"/>
      <c r="E586" s="77"/>
      <c r="F586" s="77"/>
      <c r="G586" s="77"/>
      <c r="H586" s="77"/>
      <c r="I586" s="77"/>
      <c r="J586" s="97"/>
      <c r="K586" s="1"/>
      <c r="L586" s="1"/>
      <c r="M586" s="1"/>
      <c r="N586" s="1"/>
      <c r="O586" s="1"/>
      <c r="P586" s="1"/>
      <c r="Q586" s="1"/>
      <c r="R586" s="1"/>
      <c r="S586" s="1"/>
      <c r="T586" s="1"/>
      <c r="U586" s="1"/>
      <c r="V586" s="1"/>
      <c r="W586" s="1"/>
      <c r="X586" s="1"/>
    </row>
    <row r="587" spans="1:24" ht="14.25" customHeight="1" x14ac:dyDescent="0.2">
      <c r="A587" s="79"/>
      <c r="B587" s="76"/>
      <c r="C587" s="76"/>
      <c r="D587" s="78"/>
      <c r="E587" s="77"/>
      <c r="F587" s="77"/>
      <c r="G587" s="77"/>
      <c r="H587" s="77"/>
      <c r="I587" s="77"/>
      <c r="J587" s="97"/>
      <c r="K587" s="1"/>
      <c r="L587" s="1"/>
      <c r="M587" s="1"/>
      <c r="N587" s="1"/>
      <c r="O587" s="1"/>
      <c r="P587" s="1"/>
      <c r="Q587" s="1"/>
      <c r="R587" s="1"/>
      <c r="S587" s="1"/>
      <c r="T587" s="1"/>
      <c r="U587" s="1"/>
      <c r="V587" s="1"/>
      <c r="W587" s="1"/>
      <c r="X587" s="1"/>
    </row>
    <row r="588" spans="1:24" ht="14.25" customHeight="1" x14ac:dyDescent="0.2">
      <c r="A588" s="79"/>
      <c r="B588" s="76"/>
      <c r="C588" s="76"/>
      <c r="D588" s="78"/>
      <c r="E588" s="77"/>
      <c r="F588" s="77"/>
      <c r="G588" s="77"/>
      <c r="H588" s="77"/>
      <c r="I588" s="77"/>
      <c r="J588" s="97"/>
      <c r="K588" s="1"/>
      <c r="L588" s="1"/>
      <c r="M588" s="1"/>
      <c r="N588" s="1"/>
      <c r="O588" s="1"/>
      <c r="P588" s="1"/>
      <c r="Q588" s="1"/>
      <c r="R588" s="1"/>
      <c r="S588" s="1"/>
      <c r="T588" s="1"/>
      <c r="U588" s="1"/>
      <c r="V588" s="1"/>
      <c r="W588" s="1"/>
      <c r="X588" s="1"/>
    </row>
    <row r="589" spans="1:24" ht="14.25" customHeight="1" x14ac:dyDescent="0.2">
      <c r="A589" s="79"/>
      <c r="B589" s="76"/>
      <c r="C589" s="76"/>
      <c r="D589" s="78"/>
      <c r="E589" s="77"/>
      <c r="F589" s="77"/>
      <c r="G589" s="77"/>
      <c r="H589" s="77"/>
      <c r="I589" s="77"/>
      <c r="J589" s="97"/>
      <c r="K589" s="1"/>
      <c r="L589" s="1"/>
      <c r="M589" s="1"/>
      <c r="N589" s="1"/>
      <c r="O589" s="1"/>
      <c r="P589" s="1"/>
      <c r="Q589" s="1"/>
      <c r="R589" s="1"/>
      <c r="S589" s="1"/>
      <c r="T589" s="1"/>
      <c r="U589" s="1"/>
      <c r="V589" s="1"/>
      <c r="W589" s="1"/>
      <c r="X589" s="1"/>
    </row>
    <row r="590" spans="1:24" ht="14.25" customHeight="1" x14ac:dyDescent="0.2">
      <c r="A590" s="79"/>
      <c r="B590" s="76"/>
      <c r="C590" s="76"/>
      <c r="D590" s="78"/>
      <c r="E590" s="77"/>
      <c r="F590" s="77"/>
      <c r="G590" s="77"/>
      <c r="H590" s="77"/>
      <c r="I590" s="77"/>
      <c r="J590" s="97"/>
      <c r="K590" s="1"/>
      <c r="L590" s="1"/>
      <c r="M590" s="1"/>
      <c r="N590" s="1"/>
      <c r="O590" s="1"/>
      <c r="P590" s="1"/>
      <c r="Q590" s="1"/>
      <c r="R590" s="1"/>
      <c r="S590" s="1"/>
      <c r="T590" s="1"/>
      <c r="U590" s="1"/>
      <c r="V590" s="1"/>
      <c r="W590" s="1"/>
      <c r="X590" s="1"/>
    </row>
    <row r="591" spans="1:24" ht="14.25" customHeight="1" x14ac:dyDescent="0.2">
      <c r="A591" s="79"/>
      <c r="B591" s="76"/>
      <c r="C591" s="76"/>
      <c r="D591" s="78"/>
      <c r="E591" s="77"/>
      <c r="F591" s="77"/>
      <c r="G591" s="77"/>
      <c r="H591" s="77"/>
      <c r="I591" s="77"/>
      <c r="J591" s="97"/>
      <c r="K591" s="1"/>
      <c r="L591" s="1"/>
      <c r="M591" s="1"/>
      <c r="N591" s="1"/>
      <c r="O591" s="1"/>
      <c r="P591" s="1"/>
      <c r="Q591" s="1"/>
      <c r="R591" s="1"/>
      <c r="S591" s="1"/>
      <c r="T591" s="1"/>
      <c r="U591" s="1"/>
      <c r="V591" s="1"/>
      <c r="W591" s="1"/>
      <c r="X591" s="1"/>
    </row>
    <row r="592" spans="1:24" ht="14.25" customHeight="1" x14ac:dyDescent="0.2">
      <c r="A592" s="79"/>
      <c r="B592" s="76"/>
      <c r="C592" s="76"/>
      <c r="D592" s="78"/>
      <c r="E592" s="77"/>
      <c r="F592" s="77"/>
      <c r="G592" s="77"/>
      <c r="H592" s="77"/>
      <c r="I592" s="77"/>
      <c r="J592" s="97"/>
      <c r="K592" s="1"/>
      <c r="L592" s="1"/>
      <c r="M592" s="1"/>
      <c r="N592" s="1"/>
      <c r="O592" s="1"/>
      <c r="P592" s="1"/>
      <c r="Q592" s="1"/>
      <c r="R592" s="1"/>
      <c r="S592" s="1"/>
      <c r="T592" s="1"/>
      <c r="U592" s="1"/>
      <c r="V592" s="1"/>
      <c r="W592" s="1"/>
      <c r="X592" s="1"/>
    </row>
    <row r="593" spans="1:24" ht="14.25" customHeight="1" x14ac:dyDescent="0.2">
      <c r="A593" s="79"/>
      <c r="B593" s="76"/>
      <c r="C593" s="76"/>
      <c r="D593" s="78"/>
      <c r="E593" s="77"/>
      <c r="F593" s="77"/>
      <c r="G593" s="77"/>
      <c r="H593" s="77"/>
      <c r="I593" s="77"/>
      <c r="J593" s="97"/>
      <c r="K593" s="1"/>
      <c r="L593" s="1"/>
      <c r="M593" s="1"/>
      <c r="N593" s="1"/>
      <c r="O593" s="1"/>
      <c r="P593" s="1"/>
      <c r="Q593" s="1"/>
      <c r="R593" s="1"/>
      <c r="S593" s="1"/>
      <c r="T593" s="1"/>
      <c r="U593" s="1"/>
      <c r="V593" s="1"/>
      <c r="W593" s="1"/>
      <c r="X593" s="1"/>
    </row>
    <row r="594" spans="1:24" ht="14.25" customHeight="1" x14ac:dyDescent="0.2">
      <c r="A594" s="79"/>
      <c r="B594" s="76"/>
      <c r="C594" s="76"/>
      <c r="D594" s="78"/>
      <c r="E594" s="77"/>
      <c r="F594" s="77"/>
      <c r="G594" s="77"/>
      <c r="H594" s="77"/>
      <c r="I594" s="77"/>
      <c r="J594" s="97"/>
      <c r="K594" s="1"/>
      <c r="L594" s="1"/>
      <c r="M594" s="1"/>
      <c r="N594" s="1"/>
      <c r="O594" s="1"/>
      <c r="P594" s="1"/>
      <c r="Q594" s="1"/>
      <c r="R594" s="1"/>
      <c r="S594" s="1"/>
      <c r="T594" s="1"/>
      <c r="U594" s="1"/>
      <c r="V594" s="1"/>
      <c r="W594" s="1"/>
      <c r="X594" s="1"/>
    </row>
    <row r="595" spans="1:24" ht="14.25" customHeight="1" x14ac:dyDescent="0.2">
      <c r="A595" s="79"/>
      <c r="B595" s="76"/>
      <c r="C595" s="76"/>
      <c r="D595" s="78"/>
      <c r="E595" s="77"/>
      <c r="F595" s="77"/>
      <c r="G595" s="77"/>
      <c r="H595" s="77"/>
      <c r="I595" s="77"/>
      <c r="J595" s="97"/>
      <c r="K595" s="1"/>
      <c r="L595" s="1"/>
      <c r="M595" s="1"/>
      <c r="N595" s="1"/>
      <c r="O595" s="1"/>
      <c r="P595" s="1"/>
      <c r="Q595" s="1"/>
      <c r="R595" s="1"/>
      <c r="S595" s="1"/>
      <c r="T595" s="1"/>
      <c r="U595" s="1"/>
      <c r="V595" s="1"/>
      <c r="W595" s="1"/>
      <c r="X595" s="1"/>
    </row>
    <row r="596" spans="1:24" ht="14.25" customHeight="1" x14ac:dyDescent="0.2">
      <c r="A596" s="79"/>
      <c r="B596" s="76"/>
      <c r="C596" s="76"/>
      <c r="D596" s="78"/>
      <c r="E596" s="77"/>
      <c r="F596" s="77"/>
      <c r="G596" s="77"/>
      <c r="H596" s="77"/>
      <c r="I596" s="77"/>
      <c r="J596" s="97"/>
      <c r="K596" s="1"/>
      <c r="L596" s="1"/>
      <c r="M596" s="1"/>
      <c r="N596" s="1"/>
      <c r="O596" s="1"/>
      <c r="P596" s="1"/>
      <c r="Q596" s="1"/>
      <c r="R596" s="1"/>
      <c r="S596" s="1"/>
      <c r="T596" s="1"/>
      <c r="U596" s="1"/>
      <c r="V596" s="1"/>
      <c r="W596" s="1"/>
      <c r="X596" s="1"/>
    </row>
    <row r="597" spans="1:24" ht="14.25" customHeight="1" x14ac:dyDescent="0.2">
      <c r="A597" s="79"/>
      <c r="B597" s="76"/>
      <c r="C597" s="76"/>
      <c r="D597" s="78"/>
      <c r="E597" s="77"/>
      <c r="F597" s="77"/>
      <c r="G597" s="77"/>
      <c r="H597" s="77"/>
      <c r="I597" s="77"/>
      <c r="J597" s="97"/>
      <c r="K597" s="1"/>
      <c r="L597" s="1"/>
      <c r="M597" s="1"/>
      <c r="N597" s="1"/>
      <c r="O597" s="1"/>
      <c r="P597" s="1"/>
      <c r="Q597" s="1"/>
      <c r="R597" s="1"/>
      <c r="S597" s="1"/>
      <c r="T597" s="1"/>
      <c r="U597" s="1"/>
      <c r="V597" s="1"/>
      <c r="W597" s="1"/>
      <c r="X597" s="1"/>
    </row>
    <row r="598" spans="1:24" ht="14.25" customHeight="1" x14ac:dyDescent="0.2">
      <c r="A598" s="79"/>
      <c r="B598" s="76"/>
      <c r="C598" s="76"/>
      <c r="D598" s="78"/>
      <c r="E598" s="77"/>
      <c r="F598" s="77"/>
      <c r="G598" s="77"/>
      <c r="H598" s="77"/>
      <c r="I598" s="77"/>
      <c r="J598" s="97"/>
      <c r="K598" s="1"/>
      <c r="L598" s="1"/>
      <c r="M598" s="1"/>
      <c r="N598" s="1"/>
      <c r="O598" s="1"/>
      <c r="P598" s="1"/>
      <c r="Q598" s="1"/>
      <c r="R598" s="1"/>
      <c r="S598" s="1"/>
      <c r="T598" s="1"/>
      <c r="U598" s="1"/>
      <c r="V598" s="1"/>
      <c r="W598" s="1"/>
      <c r="X598" s="1"/>
    </row>
    <row r="599" spans="1:24" ht="14.25" customHeight="1" x14ac:dyDescent="0.2">
      <c r="A599" s="79"/>
      <c r="B599" s="76"/>
      <c r="C599" s="76"/>
      <c r="D599" s="78"/>
      <c r="E599" s="77"/>
      <c r="F599" s="77"/>
      <c r="G599" s="77"/>
      <c r="H599" s="77"/>
      <c r="I599" s="77"/>
      <c r="J599" s="97"/>
      <c r="K599" s="1"/>
      <c r="L599" s="1"/>
      <c r="M599" s="1"/>
      <c r="N599" s="1"/>
      <c r="O599" s="1"/>
      <c r="P599" s="1"/>
      <c r="Q599" s="1"/>
      <c r="R599" s="1"/>
      <c r="S599" s="1"/>
      <c r="T599" s="1"/>
      <c r="U599" s="1"/>
      <c r="V599" s="1"/>
      <c r="W599" s="1"/>
      <c r="X599" s="1"/>
    </row>
    <row r="600" spans="1:24" ht="14.25" customHeight="1" x14ac:dyDescent="0.2">
      <c r="A600" s="79"/>
      <c r="B600" s="76"/>
      <c r="C600" s="76"/>
      <c r="D600" s="78"/>
      <c r="E600" s="77"/>
      <c r="F600" s="77"/>
      <c r="G600" s="77"/>
      <c r="H600" s="77"/>
      <c r="I600" s="77"/>
      <c r="J600" s="97"/>
      <c r="K600" s="1"/>
      <c r="L600" s="1"/>
      <c r="M600" s="1"/>
      <c r="N600" s="1"/>
      <c r="O600" s="1"/>
      <c r="P600" s="1"/>
      <c r="Q600" s="1"/>
      <c r="R600" s="1"/>
      <c r="S600" s="1"/>
      <c r="T600" s="1"/>
      <c r="U600" s="1"/>
      <c r="V600" s="1"/>
      <c r="W600" s="1"/>
      <c r="X600" s="1"/>
    </row>
    <row r="601" spans="1:24" ht="14.25" customHeight="1" x14ac:dyDescent="0.2">
      <c r="A601" s="79"/>
      <c r="B601" s="76"/>
      <c r="C601" s="76"/>
      <c r="D601" s="78"/>
      <c r="E601" s="77"/>
      <c r="F601" s="77"/>
      <c r="G601" s="77"/>
      <c r="H601" s="77"/>
      <c r="I601" s="77"/>
      <c r="J601" s="97"/>
      <c r="K601" s="1"/>
      <c r="L601" s="1"/>
      <c r="M601" s="1"/>
      <c r="N601" s="1"/>
      <c r="O601" s="1"/>
      <c r="P601" s="1"/>
      <c r="Q601" s="1"/>
      <c r="R601" s="1"/>
      <c r="S601" s="1"/>
      <c r="T601" s="1"/>
      <c r="U601" s="1"/>
      <c r="V601" s="1"/>
      <c r="W601" s="1"/>
      <c r="X601" s="1"/>
    </row>
    <row r="602" spans="1:24" ht="14.25" customHeight="1" x14ac:dyDescent="0.2">
      <c r="A602" s="79"/>
      <c r="B602" s="76"/>
      <c r="C602" s="76"/>
      <c r="D602" s="78"/>
      <c r="E602" s="77"/>
      <c r="F602" s="77"/>
      <c r="G602" s="77"/>
      <c r="H602" s="77"/>
      <c r="I602" s="77"/>
      <c r="J602" s="97"/>
      <c r="K602" s="1"/>
      <c r="L602" s="1"/>
      <c r="M602" s="1"/>
      <c r="N602" s="1"/>
      <c r="O602" s="1"/>
      <c r="P602" s="1"/>
      <c r="Q602" s="1"/>
      <c r="R602" s="1"/>
      <c r="S602" s="1"/>
      <c r="T602" s="1"/>
      <c r="U602" s="1"/>
      <c r="V602" s="1"/>
      <c r="W602" s="1"/>
      <c r="X602" s="1"/>
    </row>
    <row r="603" spans="1:24" ht="14.25" customHeight="1" x14ac:dyDescent="0.2">
      <c r="A603" s="79"/>
      <c r="B603" s="76"/>
      <c r="C603" s="76"/>
      <c r="D603" s="78"/>
      <c r="E603" s="77"/>
      <c r="F603" s="77"/>
      <c r="G603" s="77"/>
      <c r="H603" s="77"/>
      <c r="I603" s="77"/>
      <c r="J603" s="97"/>
      <c r="K603" s="1"/>
      <c r="L603" s="1"/>
      <c r="M603" s="1"/>
      <c r="N603" s="1"/>
      <c r="O603" s="1"/>
      <c r="P603" s="1"/>
      <c r="Q603" s="1"/>
      <c r="R603" s="1"/>
      <c r="S603" s="1"/>
      <c r="T603" s="1"/>
      <c r="U603" s="1"/>
      <c r="V603" s="1"/>
      <c r="W603" s="1"/>
      <c r="X603" s="1"/>
    </row>
    <row r="604" spans="1:24" ht="14.25" customHeight="1" x14ac:dyDescent="0.2">
      <c r="A604" s="79"/>
      <c r="B604" s="76"/>
      <c r="C604" s="76"/>
      <c r="D604" s="78"/>
      <c r="E604" s="77"/>
      <c r="F604" s="77"/>
      <c r="G604" s="77"/>
      <c r="H604" s="77"/>
      <c r="I604" s="77"/>
      <c r="J604" s="97"/>
      <c r="K604" s="1"/>
      <c r="L604" s="1"/>
      <c r="M604" s="1"/>
      <c r="N604" s="1"/>
      <c r="O604" s="1"/>
      <c r="P604" s="1"/>
      <c r="Q604" s="1"/>
      <c r="R604" s="1"/>
      <c r="S604" s="1"/>
      <c r="T604" s="1"/>
      <c r="U604" s="1"/>
      <c r="V604" s="1"/>
      <c r="W604" s="1"/>
      <c r="X604" s="1"/>
    </row>
    <row r="605" spans="1:24" ht="14.25" customHeight="1" x14ac:dyDescent="0.2">
      <c r="A605" s="79"/>
      <c r="B605" s="76"/>
      <c r="C605" s="76"/>
      <c r="D605" s="78"/>
      <c r="E605" s="77"/>
      <c r="F605" s="77"/>
      <c r="G605" s="77"/>
      <c r="H605" s="77"/>
      <c r="I605" s="77"/>
      <c r="J605" s="97"/>
      <c r="K605" s="1"/>
      <c r="L605" s="1"/>
      <c r="M605" s="1"/>
      <c r="N605" s="1"/>
      <c r="O605" s="1"/>
      <c r="P605" s="1"/>
      <c r="Q605" s="1"/>
      <c r="R605" s="1"/>
      <c r="S605" s="1"/>
      <c r="T605" s="1"/>
      <c r="U605" s="1"/>
      <c r="V605" s="1"/>
      <c r="W605" s="1"/>
      <c r="X605" s="1"/>
    </row>
    <row r="606" spans="1:24" ht="14.25" customHeight="1" x14ac:dyDescent="0.2">
      <c r="A606" s="79"/>
      <c r="B606" s="76"/>
      <c r="C606" s="76"/>
      <c r="D606" s="78"/>
      <c r="E606" s="77"/>
      <c r="F606" s="77"/>
      <c r="G606" s="77"/>
      <c r="H606" s="77"/>
      <c r="I606" s="77"/>
      <c r="J606" s="97"/>
      <c r="K606" s="1"/>
      <c r="L606" s="1"/>
      <c r="M606" s="1"/>
      <c r="N606" s="1"/>
      <c r="O606" s="1"/>
      <c r="P606" s="1"/>
      <c r="Q606" s="1"/>
      <c r="R606" s="1"/>
      <c r="S606" s="1"/>
      <c r="T606" s="1"/>
      <c r="U606" s="1"/>
      <c r="V606" s="1"/>
      <c r="W606" s="1"/>
      <c r="X606" s="1"/>
    </row>
    <row r="607" spans="1:24" ht="14.25" customHeight="1" x14ac:dyDescent="0.2">
      <c r="A607" s="79"/>
      <c r="B607" s="76"/>
      <c r="C607" s="76"/>
      <c r="D607" s="78"/>
      <c r="E607" s="77"/>
      <c r="F607" s="77"/>
      <c r="G607" s="77"/>
      <c r="H607" s="77"/>
      <c r="I607" s="77"/>
      <c r="J607" s="97"/>
      <c r="K607" s="1"/>
      <c r="L607" s="1"/>
      <c r="M607" s="1"/>
      <c r="N607" s="1"/>
      <c r="O607" s="1"/>
      <c r="P607" s="1"/>
      <c r="Q607" s="1"/>
      <c r="R607" s="1"/>
      <c r="S607" s="1"/>
      <c r="T607" s="1"/>
      <c r="U607" s="1"/>
      <c r="V607" s="1"/>
      <c r="W607" s="1"/>
      <c r="X607" s="1"/>
    </row>
    <row r="608" spans="1:24" ht="14.25" customHeight="1" x14ac:dyDescent="0.2">
      <c r="A608" s="79"/>
      <c r="B608" s="76"/>
      <c r="C608" s="76"/>
      <c r="D608" s="78"/>
      <c r="E608" s="77"/>
      <c r="F608" s="77"/>
      <c r="G608" s="77"/>
      <c r="H608" s="77"/>
      <c r="I608" s="77"/>
      <c r="J608" s="97"/>
      <c r="K608" s="1"/>
      <c r="L608" s="1"/>
      <c r="M608" s="1"/>
      <c r="N608" s="1"/>
      <c r="O608" s="1"/>
      <c r="P608" s="1"/>
      <c r="Q608" s="1"/>
      <c r="R608" s="1"/>
      <c r="S608" s="1"/>
      <c r="T608" s="1"/>
      <c r="U608" s="1"/>
      <c r="V608" s="1"/>
      <c r="W608" s="1"/>
      <c r="X608" s="1"/>
    </row>
    <row r="609" spans="1:24" ht="14.25" customHeight="1" x14ac:dyDescent="0.2">
      <c r="A609" s="79"/>
      <c r="B609" s="76"/>
      <c r="C609" s="76"/>
      <c r="D609" s="78"/>
      <c r="E609" s="77"/>
      <c r="F609" s="77"/>
      <c r="G609" s="77"/>
      <c r="H609" s="77"/>
      <c r="I609" s="77"/>
      <c r="J609" s="97"/>
      <c r="K609" s="1"/>
      <c r="L609" s="1"/>
      <c r="M609" s="1"/>
      <c r="N609" s="1"/>
      <c r="O609" s="1"/>
      <c r="P609" s="1"/>
      <c r="Q609" s="1"/>
      <c r="R609" s="1"/>
      <c r="S609" s="1"/>
      <c r="T609" s="1"/>
      <c r="U609" s="1"/>
      <c r="V609" s="1"/>
      <c r="W609" s="1"/>
      <c r="X609" s="1"/>
    </row>
    <row r="610" spans="1:24" ht="14.25" customHeight="1" x14ac:dyDescent="0.2">
      <c r="A610" s="79"/>
      <c r="B610" s="76"/>
      <c r="C610" s="76"/>
      <c r="D610" s="78"/>
      <c r="E610" s="77"/>
      <c r="F610" s="77"/>
      <c r="G610" s="77"/>
      <c r="H610" s="77"/>
      <c r="I610" s="77"/>
      <c r="J610" s="97"/>
      <c r="K610" s="1"/>
      <c r="L610" s="1"/>
      <c r="M610" s="1"/>
      <c r="N610" s="1"/>
      <c r="O610" s="1"/>
      <c r="P610" s="1"/>
      <c r="Q610" s="1"/>
      <c r="R610" s="1"/>
      <c r="S610" s="1"/>
      <c r="T610" s="1"/>
      <c r="U610" s="1"/>
      <c r="V610" s="1"/>
      <c r="W610" s="1"/>
      <c r="X610" s="1"/>
    </row>
    <row r="611" spans="1:24" ht="14.25" customHeight="1" x14ac:dyDescent="0.2">
      <c r="A611" s="79"/>
      <c r="B611" s="76"/>
      <c r="C611" s="76"/>
      <c r="D611" s="78"/>
      <c r="E611" s="77"/>
      <c r="F611" s="77"/>
      <c r="G611" s="77"/>
      <c r="H611" s="77"/>
      <c r="I611" s="77"/>
      <c r="J611" s="97"/>
      <c r="K611" s="1"/>
      <c r="L611" s="1"/>
      <c r="M611" s="1"/>
      <c r="N611" s="1"/>
      <c r="O611" s="1"/>
      <c r="P611" s="1"/>
      <c r="Q611" s="1"/>
      <c r="R611" s="1"/>
      <c r="S611" s="1"/>
      <c r="T611" s="1"/>
      <c r="U611" s="1"/>
      <c r="V611" s="1"/>
      <c r="W611" s="1"/>
      <c r="X611" s="1"/>
    </row>
    <row r="612" spans="1:24" ht="14.25" customHeight="1" x14ac:dyDescent="0.2">
      <c r="A612" s="79"/>
      <c r="B612" s="76"/>
      <c r="C612" s="76"/>
      <c r="D612" s="78"/>
      <c r="E612" s="77"/>
      <c r="F612" s="77"/>
      <c r="G612" s="77"/>
      <c r="H612" s="77"/>
      <c r="I612" s="77"/>
      <c r="J612" s="97"/>
      <c r="K612" s="1"/>
      <c r="L612" s="1"/>
      <c r="M612" s="1"/>
      <c r="N612" s="1"/>
      <c r="O612" s="1"/>
      <c r="P612" s="1"/>
      <c r="Q612" s="1"/>
      <c r="R612" s="1"/>
      <c r="S612" s="1"/>
      <c r="T612" s="1"/>
      <c r="U612" s="1"/>
      <c r="V612" s="1"/>
      <c r="W612" s="1"/>
      <c r="X612" s="1"/>
    </row>
    <row r="613" spans="1:24" ht="14.25" customHeight="1" x14ac:dyDescent="0.2">
      <c r="A613" s="79"/>
      <c r="B613" s="76"/>
      <c r="C613" s="76"/>
      <c r="D613" s="78"/>
      <c r="E613" s="77"/>
      <c r="F613" s="77"/>
      <c r="G613" s="77"/>
      <c r="H613" s="77"/>
      <c r="I613" s="77"/>
      <c r="J613" s="97"/>
      <c r="K613" s="1"/>
      <c r="L613" s="1"/>
      <c r="M613" s="1"/>
      <c r="N613" s="1"/>
      <c r="O613" s="1"/>
      <c r="P613" s="1"/>
      <c r="Q613" s="1"/>
      <c r="R613" s="1"/>
      <c r="S613" s="1"/>
      <c r="T613" s="1"/>
      <c r="U613" s="1"/>
      <c r="V613" s="1"/>
      <c r="W613" s="1"/>
      <c r="X613" s="1"/>
    </row>
    <row r="614" spans="1:24" ht="14.25" customHeight="1" x14ac:dyDescent="0.2">
      <c r="A614" s="79"/>
      <c r="B614" s="76"/>
      <c r="C614" s="76"/>
      <c r="D614" s="78"/>
      <c r="E614" s="77"/>
      <c r="F614" s="77"/>
      <c r="G614" s="77"/>
      <c r="H614" s="77"/>
      <c r="I614" s="77"/>
      <c r="J614" s="97"/>
      <c r="K614" s="1"/>
      <c r="L614" s="1"/>
      <c r="M614" s="1"/>
      <c r="N614" s="1"/>
      <c r="O614" s="1"/>
      <c r="P614" s="1"/>
      <c r="Q614" s="1"/>
      <c r="R614" s="1"/>
      <c r="S614" s="1"/>
      <c r="T614" s="1"/>
      <c r="U614" s="1"/>
      <c r="V614" s="1"/>
      <c r="W614" s="1"/>
      <c r="X614" s="1"/>
    </row>
    <row r="615" spans="1:24" ht="14.25" customHeight="1" x14ac:dyDescent="0.2">
      <c r="A615" s="79"/>
      <c r="B615" s="76"/>
      <c r="C615" s="76"/>
      <c r="D615" s="78"/>
      <c r="E615" s="77"/>
      <c r="F615" s="77"/>
      <c r="G615" s="77"/>
      <c r="H615" s="77"/>
      <c r="I615" s="77"/>
      <c r="J615" s="97"/>
      <c r="K615" s="1"/>
      <c r="L615" s="1"/>
      <c r="M615" s="1"/>
      <c r="N615" s="1"/>
      <c r="O615" s="1"/>
      <c r="P615" s="1"/>
      <c r="Q615" s="1"/>
      <c r="R615" s="1"/>
      <c r="S615" s="1"/>
      <c r="T615" s="1"/>
      <c r="U615" s="1"/>
      <c r="V615" s="1"/>
      <c r="W615" s="1"/>
      <c r="X615" s="1"/>
    </row>
    <row r="616" spans="1:24" ht="14.25" customHeight="1" x14ac:dyDescent="0.2">
      <c r="A616" s="79"/>
      <c r="B616" s="76"/>
      <c r="C616" s="76"/>
      <c r="D616" s="78"/>
      <c r="E616" s="77"/>
      <c r="F616" s="77"/>
      <c r="G616" s="77"/>
      <c r="H616" s="77"/>
      <c r="I616" s="77"/>
      <c r="J616" s="97"/>
      <c r="K616" s="1"/>
      <c r="L616" s="1"/>
      <c r="M616" s="1"/>
      <c r="N616" s="1"/>
      <c r="O616" s="1"/>
      <c r="P616" s="1"/>
      <c r="Q616" s="1"/>
      <c r="R616" s="1"/>
      <c r="S616" s="1"/>
      <c r="T616" s="1"/>
      <c r="U616" s="1"/>
      <c r="V616" s="1"/>
      <c r="W616" s="1"/>
      <c r="X616" s="1"/>
    </row>
    <row r="617" spans="1:24" ht="14.25" customHeight="1" x14ac:dyDescent="0.2">
      <c r="A617" s="79"/>
      <c r="B617" s="76"/>
      <c r="C617" s="76"/>
      <c r="D617" s="78"/>
      <c r="E617" s="77"/>
      <c r="F617" s="77"/>
      <c r="G617" s="77"/>
      <c r="H617" s="77"/>
      <c r="I617" s="77"/>
      <c r="J617" s="97"/>
      <c r="K617" s="1"/>
      <c r="L617" s="1"/>
      <c r="M617" s="1"/>
      <c r="N617" s="1"/>
      <c r="O617" s="1"/>
      <c r="P617" s="1"/>
      <c r="Q617" s="1"/>
      <c r="R617" s="1"/>
      <c r="S617" s="1"/>
      <c r="T617" s="1"/>
      <c r="U617" s="1"/>
      <c r="V617" s="1"/>
      <c r="W617" s="1"/>
      <c r="X617" s="1"/>
    </row>
    <row r="618" spans="1:24" ht="14.25" customHeight="1" x14ac:dyDescent="0.2">
      <c r="A618" s="79"/>
      <c r="B618" s="76"/>
      <c r="C618" s="76"/>
      <c r="D618" s="78"/>
      <c r="E618" s="77"/>
      <c r="F618" s="77"/>
      <c r="G618" s="77"/>
      <c r="H618" s="77"/>
      <c r="I618" s="77"/>
      <c r="J618" s="97"/>
      <c r="K618" s="1"/>
      <c r="L618" s="1"/>
      <c r="M618" s="1"/>
      <c r="N618" s="1"/>
      <c r="O618" s="1"/>
      <c r="P618" s="1"/>
      <c r="Q618" s="1"/>
      <c r="R618" s="1"/>
      <c r="S618" s="1"/>
      <c r="T618" s="1"/>
      <c r="U618" s="1"/>
      <c r="V618" s="1"/>
      <c r="W618" s="1"/>
      <c r="X618" s="1"/>
    </row>
    <row r="619" spans="1:24" ht="14.25" customHeight="1" x14ac:dyDescent="0.2">
      <c r="A619" s="79"/>
      <c r="B619" s="76"/>
      <c r="C619" s="76"/>
      <c r="D619" s="78"/>
      <c r="E619" s="77"/>
      <c r="F619" s="77"/>
      <c r="G619" s="77"/>
      <c r="H619" s="77"/>
      <c r="I619" s="77"/>
      <c r="J619" s="97"/>
      <c r="K619" s="1"/>
      <c r="L619" s="1"/>
      <c r="M619" s="1"/>
      <c r="N619" s="1"/>
      <c r="O619" s="1"/>
      <c r="P619" s="1"/>
      <c r="Q619" s="1"/>
      <c r="R619" s="1"/>
      <c r="S619" s="1"/>
      <c r="T619" s="1"/>
      <c r="U619" s="1"/>
      <c r="V619" s="1"/>
      <c r="W619" s="1"/>
      <c r="X619" s="1"/>
    </row>
    <row r="620" spans="1:24" ht="14.25" customHeight="1" x14ac:dyDescent="0.2">
      <c r="A620" s="79"/>
      <c r="B620" s="76"/>
      <c r="C620" s="76"/>
      <c r="D620" s="78"/>
      <c r="E620" s="77"/>
      <c r="F620" s="77"/>
      <c r="G620" s="77"/>
      <c r="H620" s="77"/>
      <c r="I620" s="77"/>
      <c r="J620" s="97"/>
      <c r="K620" s="1"/>
      <c r="L620" s="1"/>
      <c r="M620" s="1"/>
      <c r="N620" s="1"/>
      <c r="O620" s="1"/>
      <c r="P620" s="1"/>
      <c r="Q620" s="1"/>
      <c r="R620" s="1"/>
      <c r="S620" s="1"/>
      <c r="T620" s="1"/>
      <c r="U620" s="1"/>
      <c r="V620" s="1"/>
      <c r="W620" s="1"/>
      <c r="X620" s="1"/>
    </row>
    <row r="621" spans="1:24" ht="14.25" customHeight="1" x14ac:dyDescent="0.2">
      <c r="A621" s="79"/>
      <c r="B621" s="76"/>
      <c r="C621" s="76"/>
      <c r="D621" s="78"/>
      <c r="E621" s="77"/>
      <c r="F621" s="77"/>
      <c r="G621" s="77"/>
      <c r="H621" s="77"/>
      <c r="I621" s="77"/>
      <c r="J621" s="97"/>
      <c r="K621" s="1"/>
      <c r="L621" s="1"/>
      <c r="M621" s="1"/>
      <c r="N621" s="1"/>
      <c r="O621" s="1"/>
      <c r="P621" s="1"/>
      <c r="Q621" s="1"/>
      <c r="R621" s="1"/>
      <c r="S621" s="1"/>
      <c r="T621" s="1"/>
      <c r="U621" s="1"/>
      <c r="V621" s="1"/>
      <c r="W621" s="1"/>
      <c r="X621" s="1"/>
    </row>
    <row r="622" spans="1:24" ht="14.25" customHeight="1" x14ac:dyDescent="0.2">
      <c r="A622" s="79"/>
      <c r="B622" s="76"/>
      <c r="C622" s="76"/>
      <c r="D622" s="78"/>
      <c r="E622" s="77"/>
      <c r="F622" s="77"/>
      <c r="G622" s="77"/>
      <c r="H622" s="77"/>
      <c r="I622" s="77"/>
      <c r="J622" s="97"/>
      <c r="K622" s="1"/>
      <c r="L622" s="1"/>
      <c r="M622" s="1"/>
      <c r="N622" s="1"/>
      <c r="O622" s="1"/>
      <c r="P622" s="1"/>
      <c r="Q622" s="1"/>
      <c r="R622" s="1"/>
      <c r="S622" s="1"/>
      <c r="T622" s="1"/>
      <c r="U622" s="1"/>
      <c r="V622" s="1"/>
      <c r="W622" s="1"/>
      <c r="X622" s="1"/>
    </row>
    <row r="623" spans="1:24" ht="14.25" customHeight="1" x14ac:dyDescent="0.2">
      <c r="A623" s="79"/>
      <c r="B623" s="76"/>
      <c r="C623" s="76"/>
      <c r="D623" s="78"/>
      <c r="E623" s="77"/>
      <c r="F623" s="77"/>
      <c r="G623" s="77"/>
      <c r="H623" s="77"/>
      <c r="I623" s="77"/>
      <c r="J623" s="97"/>
      <c r="K623" s="1"/>
      <c r="L623" s="1"/>
      <c r="M623" s="1"/>
      <c r="N623" s="1"/>
      <c r="O623" s="1"/>
      <c r="P623" s="1"/>
      <c r="Q623" s="1"/>
      <c r="R623" s="1"/>
      <c r="S623" s="1"/>
      <c r="T623" s="1"/>
      <c r="U623" s="1"/>
      <c r="V623" s="1"/>
      <c r="W623" s="1"/>
      <c r="X623" s="1"/>
    </row>
    <row r="624" spans="1:24" ht="14.25" customHeight="1" x14ac:dyDescent="0.2">
      <c r="A624" s="79"/>
      <c r="B624" s="76"/>
      <c r="C624" s="76"/>
      <c r="D624" s="78"/>
      <c r="E624" s="77"/>
      <c r="F624" s="77"/>
      <c r="G624" s="77"/>
      <c r="H624" s="77"/>
      <c r="I624" s="77"/>
      <c r="J624" s="97"/>
      <c r="K624" s="1"/>
      <c r="L624" s="1"/>
      <c r="M624" s="1"/>
      <c r="N624" s="1"/>
      <c r="O624" s="1"/>
      <c r="P624" s="1"/>
      <c r="Q624" s="1"/>
      <c r="R624" s="1"/>
      <c r="S624" s="1"/>
      <c r="T624" s="1"/>
      <c r="U624" s="1"/>
      <c r="V624" s="1"/>
      <c r="W624" s="1"/>
      <c r="X624" s="1"/>
    </row>
    <row r="625" spans="1:24" ht="14.25" customHeight="1" x14ac:dyDescent="0.2">
      <c r="A625" s="79"/>
      <c r="B625" s="76"/>
      <c r="C625" s="76"/>
      <c r="D625" s="78"/>
      <c r="E625" s="77"/>
      <c r="F625" s="77"/>
      <c r="G625" s="77"/>
      <c r="H625" s="77"/>
      <c r="I625" s="77"/>
      <c r="J625" s="97"/>
      <c r="K625" s="1"/>
      <c r="L625" s="1"/>
      <c r="M625" s="1"/>
      <c r="N625" s="1"/>
      <c r="O625" s="1"/>
      <c r="P625" s="1"/>
      <c r="Q625" s="1"/>
      <c r="R625" s="1"/>
      <c r="S625" s="1"/>
      <c r="T625" s="1"/>
      <c r="U625" s="1"/>
      <c r="V625" s="1"/>
      <c r="W625" s="1"/>
      <c r="X625" s="1"/>
    </row>
    <row r="626" spans="1:24" ht="14.25" customHeight="1" x14ac:dyDescent="0.2">
      <c r="A626" s="79"/>
      <c r="B626" s="76"/>
      <c r="C626" s="76"/>
      <c r="D626" s="78"/>
      <c r="E626" s="77"/>
      <c r="F626" s="77"/>
      <c r="G626" s="77"/>
      <c r="H626" s="77"/>
      <c r="I626" s="77"/>
      <c r="J626" s="97"/>
      <c r="K626" s="1"/>
      <c r="L626" s="1"/>
      <c r="M626" s="1"/>
      <c r="N626" s="1"/>
      <c r="O626" s="1"/>
      <c r="P626" s="1"/>
      <c r="Q626" s="1"/>
      <c r="R626" s="1"/>
      <c r="S626" s="1"/>
      <c r="T626" s="1"/>
      <c r="U626" s="1"/>
      <c r="V626" s="1"/>
      <c r="W626" s="1"/>
      <c r="X626" s="1"/>
    </row>
    <row r="627" spans="1:24" ht="14.25" customHeight="1" x14ac:dyDescent="0.2">
      <c r="A627" s="79"/>
      <c r="B627" s="76"/>
      <c r="C627" s="76"/>
      <c r="D627" s="78"/>
      <c r="E627" s="77"/>
      <c r="F627" s="77"/>
      <c r="G627" s="77"/>
      <c r="H627" s="77"/>
      <c r="I627" s="77"/>
      <c r="J627" s="97"/>
      <c r="K627" s="1"/>
      <c r="L627" s="1"/>
      <c r="M627" s="1"/>
      <c r="N627" s="1"/>
      <c r="O627" s="1"/>
      <c r="P627" s="1"/>
      <c r="Q627" s="1"/>
      <c r="R627" s="1"/>
      <c r="S627" s="1"/>
      <c r="T627" s="1"/>
      <c r="U627" s="1"/>
      <c r="V627" s="1"/>
      <c r="W627" s="1"/>
      <c r="X627" s="1"/>
    </row>
    <row r="628" spans="1:24" ht="14.25" customHeight="1" x14ac:dyDescent="0.2">
      <c r="A628" s="79"/>
      <c r="B628" s="76"/>
      <c r="C628" s="76"/>
      <c r="D628" s="78"/>
      <c r="E628" s="77"/>
      <c r="F628" s="77"/>
      <c r="G628" s="77"/>
      <c r="H628" s="77"/>
      <c r="I628" s="77"/>
      <c r="J628" s="97"/>
      <c r="K628" s="1"/>
      <c r="L628" s="1"/>
      <c r="M628" s="1"/>
      <c r="N628" s="1"/>
      <c r="O628" s="1"/>
      <c r="P628" s="1"/>
      <c r="Q628" s="1"/>
      <c r="R628" s="1"/>
      <c r="S628" s="1"/>
      <c r="T628" s="1"/>
      <c r="U628" s="1"/>
      <c r="V628" s="1"/>
      <c r="W628" s="1"/>
      <c r="X628" s="1"/>
    </row>
    <row r="629" spans="1:24" ht="14.25" customHeight="1" x14ac:dyDescent="0.2">
      <c r="A629" s="79"/>
      <c r="B629" s="76"/>
      <c r="C629" s="76"/>
      <c r="D629" s="78"/>
      <c r="E629" s="77"/>
      <c r="F629" s="77"/>
      <c r="G629" s="77"/>
      <c r="H629" s="77"/>
      <c r="I629" s="77"/>
      <c r="J629" s="97"/>
      <c r="K629" s="1"/>
      <c r="L629" s="1"/>
      <c r="M629" s="1"/>
      <c r="N629" s="1"/>
      <c r="O629" s="1"/>
      <c r="P629" s="1"/>
      <c r="Q629" s="1"/>
      <c r="R629" s="1"/>
      <c r="S629" s="1"/>
      <c r="T629" s="1"/>
      <c r="U629" s="1"/>
      <c r="V629" s="1"/>
      <c r="W629" s="1"/>
      <c r="X629" s="1"/>
    </row>
    <row r="630" spans="1:24" ht="14.25" customHeight="1" x14ac:dyDescent="0.2">
      <c r="A630" s="79"/>
      <c r="B630" s="76"/>
      <c r="C630" s="76"/>
      <c r="D630" s="78"/>
      <c r="E630" s="77"/>
      <c r="F630" s="77"/>
      <c r="G630" s="77"/>
      <c r="H630" s="77"/>
      <c r="I630" s="77"/>
      <c r="J630" s="97"/>
      <c r="K630" s="1"/>
      <c r="L630" s="1"/>
      <c r="M630" s="1"/>
      <c r="N630" s="1"/>
      <c r="O630" s="1"/>
      <c r="P630" s="1"/>
      <c r="Q630" s="1"/>
      <c r="R630" s="1"/>
      <c r="S630" s="1"/>
      <c r="T630" s="1"/>
      <c r="U630" s="1"/>
      <c r="V630" s="1"/>
      <c r="W630" s="1"/>
      <c r="X630" s="1"/>
    </row>
    <row r="631" spans="1:24" ht="14.25" customHeight="1" x14ac:dyDescent="0.2">
      <c r="A631" s="79"/>
      <c r="B631" s="76"/>
      <c r="C631" s="76"/>
      <c r="D631" s="78"/>
      <c r="E631" s="77"/>
      <c r="F631" s="77"/>
      <c r="G631" s="77"/>
      <c r="H631" s="77"/>
      <c r="I631" s="77"/>
      <c r="J631" s="97"/>
      <c r="K631" s="1"/>
      <c r="L631" s="1"/>
      <c r="M631" s="1"/>
      <c r="N631" s="1"/>
      <c r="O631" s="1"/>
      <c r="P631" s="1"/>
      <c r="Q631" s="1"/>
      <c r="R631" s="1"/>
      <c r="S631" s="1"/>
      <c r="T631" s="1"/>
      <c r="U631" s="1"/>
      <c r="V631" s="1"/>
      <c r="W631" s="1"/>
      <c r="X631" s="1"/>
    </row>
    <row r="632" spans="1:24" ht="14.25" customHeight="1" x14ac:dyDescent="0.2">
      <c r="A632" s="79"/>
      <c r="B632" s="76"/>
      <c r="C632" s="76"/>
      <c r="D632" s="78"/>
      <c r="E632" s="77"/>
      <c r="F632" s="77"/>
      <c r="G632" s="77"/>
      <c r="H632" s="77"/>
      <c r="I632" s="77"/>
      <c r="J632" s="97"/>
      <c r="K632" s="1"/>
      <c r="L632" s="1"/>
      <c r="M632" s="1"/>
      <c r="N632" s="1"/>
      <c r="O632" s="1"/>
      <c r="P632" s="1"/>
      <c r="Q632" s="1"/>
      <c r="R632" s="1"/>
      <c r="S632" s="1"/>
      <c r="T632" s="1"/>
      <c r="U632" s="1"/>
      <c r="V632" s="1"/>
      <c r="W632" s="1"/>
      <c r="X632" s="1"/>
    </row>
    <row r="633" spans="1:24" ht="14.25" customHeight="1" x14ac:dyDescent="0.2">
      <c r="A633" s="79"/>
      <c r="B633" s="76"/>
      <c r="C633" s="76"/>
      <c r="D633" s="78"/>
      <c r="E633" s="77"/>
      <c r="F633" s="77"/>
      <c r="G633" s="77"/>
      <c r="H633" s="77"/>
      <c r="I633" s="77"/>
      <c r="J633" s="97"/>
      <c r="K633" s="1"/>
      <c r="L633" s="1"/>
      <c r="M633" s="1"/>
      <c r="N633" s="1"/>
      <c r="O633" s="1"/>
      <c r="P633" s="1"/>
      <c r="Q633" s="1"/>
      <c r="R633" s="1"/>
      <c r="S633" s="1"/>
      <c r="T633" s="1"/>
      <c r="U633" s="1"/>
      <c r="V633" s="1"/>
      <c r="W633" s="1"/>
      <c r="X633" s="1"/>
    </row>
    <row r="634" spans="1:24" ht="14.25" customHeight="1" x14ac:dyDescent="0.2">
      <c r="A634" s="79"/>
      <c r="B634" s="76"/>
      <c r="C634" s="76"/>
      <c r="D634" s="78"/>
      <c r="E634" s="77"/>
      <c r="F634" s="77"/>
      <c r="G634" s="77"/>
      <c r="H634" s="77"/>
      <c r="I634" s="77"/>
      <c r="J634" s="97"/>
      <c r="K634" s="1"/>
      <c r="L634" s="1"/>
      <c r="M634" s="1"/>
      <c r="N634" s="1"/>
      <c r="O634" s="1"/>
      <c r="P634" s="1"/>
      <c r="Q634" s="1"/>
      <c r="R634" s="1"/>
      <c r="S634" s="1"/>
      <c r="T634" s="1"/>
      <c r="U634" s="1"/>
      <c r="V634" s="1"/>
      <c r="W634" s="1"/>
      <c r="X634" s="1"/>
    </row>
    <row r="635" spans="1:24" ht="14.25" customHeight="1" x14ac:dyDescent="0.2">
      <c r="A635" s="79"/>
      <c r="B635" s="76"/>
      <c r="C635" s="76"/>
      <c r="D635" s="78"/>
      <c r="E635" s="77"/>
      <c r="F635" s="77"/>
      <c r="G635" s="77"/>
      <c r="H635" s="77"/>
      <c r="I635" s="77"/>
      <c r="J635" s="97"/>
      <c r="K635" s="1"/>
      <c r="L635" s="1"/>
      <c r="M635" s="1"/>
      <c r="N635" s="1"/>
      <c r="O635" s="1"/>
      <c r="P635" s="1"/>
      <c r="Q635" s="1"/>
      <c r="R635" s="1"/>
      <c r="S635" s="1"/>
      <c r="T635" s="1"/>
      <c r="U635" s="1"/>
      <c r="V635" s="1"/>
      <c r="W635" s="1"/>
      <c r="X635" s="1"/>
    </row>
    <row r="636" spans="1:24" ht="14.25" customHeight="1" x14ac:dyDescent="0.2">
      <c r="A636" s="79"/>
      <c r="B636" s="76"/>
      <c r="C636" s="76"/>
      <c r="D636" s="78"/>
      <c r="E636" s="77"/>
      <c r="F636" s="77"/>
      <c r="G636" s="77"/>
      <c r="H636" s="77"/>
      <c r="I636" s="77"/>
      <c r="J636" s="97"/>
      <c r="K636" s="1"/>
      <c r="L636" s="1"/>
      <c r="M636" s="1"/>
      <c r="N636" s="1"/>
      <c r="O636" s="1"/>
      <c r="P636" s="1"/>
      <c r="Q636" s="1"/>
      <c r="R636" s="1"/>
      <c r="S636" s="1"/>
      <c r="T636" s="1"/>
      <c r="U636" s="1"/>
      <c r="V636" s="1"/>
      <c r="W636" s="1"/>
      <c r="X636" s="1"/>
    </row>
    <row r="637" spans="1:24" ht="14.25" customHeight="1" x14ac:dyDescent="0.2">
      <c r="A637" s="79"/>
      <c r="B637" s="76"/>
      <c r="C637" s="76"/>
      <c r="D637" s="78"/>
      <c r="E637" s="77"/>
      <c r="F637" s="77"/>
      <c r="G637" s="77"/>
      <c r="H637" s="77"/>
      <c r="I637" s="77"/>
      <c r="J637" s="97"/>
      <c r="K637" s="1"/>
      <c r="L637" s="1"/>
      <c r="M637" s="1"/>
      <c r="N637" s="1"/>
      <c r="O637" s="1"/>
      <c r="P637" s="1"/>
      <c r="Q637" s="1"/>
      <c r="R637" s="1"/>
      <c r="S637" s="1"/>
      <c r="T637" s="1"/>
      <c r="U637" s="1"/>
      <c r="V637" s="1"/>
      <c r="W637" s="1"/>
      <c r="X637" s="1"/>
    </row>
    <row r="638" spans="1:24" ht="14.25" customHeight="1" x14ac:dyDescent="0.2">
      <c r="A638" s="79"/>
      <c r="B638" s="76"/>
      <c r="C638" s="76"/>
      <c r="D638" s="78"/>
      <c r="E638" s="77"/>
      <c r="F638" s="77"/>
      <c r="G638" s="77"/>
      <c r="H638" s="77"/>
      <c r="I638" s="77"/>
      <c r="J638" s="97"/>
      <c r="K638" s="1"/>
      <c r="L638" s="1"/>
      <c r="M638" s="1"/>
      <c r="N638" s="1"/>
      <c r="O638" s="1"/>
      <c r="P638" s="1"/>
      <c r="Q638" s="1"/>
      <c r="R638" s="1"/>
      <c r="S638" s="1"/>
      <c r="T638" s="1"/>
      <c r="U638" s="1"/>
      <c r="V638" s="1"/>
      <c r="W638" s="1"/>
      <c r="X638" s="1"/>
    </row>
    <row r="639" spans="1:24" ht="14.25" customHeight="1" x14ac:dyDescent="0.2">
      <c r="A639" s="79"/>
      <c r="B639" s="76"/>
      <c r="C639" s="76"/>
      <c r="D639" s="78"/>
      <c r="E639" s="77"/>
      <c r="F639" s="77"/>
      <c r="G639" s="77"/>
      <c r="H639" s="77"/>
      <c r="I639" s="77"/>
      <c r="J639" s="97"/>
      <c r="K639" s="1"/>
      <c r="L639" s="1"/>
      <c r="M639" s="1"/>
      <c r="N639" s="1"/>
      <c r="O639" s="1"/>
      <c r="P639" s="1"/>
      <c r="Q639" s="1"/>
      <c r="R639" s="1"/>
      <c r="S639" s="1"/>
      <c r="T639" s="1"/>
      <c r="U639" s="1"/>
      <c r="V639" s="1"/>
      <c r="W639" s="1"/>
      <c r="X639" s="1"/>
    </row>
    <row r="640" spans="1:24" ht="14.25" customHeight="1" x14ac:dyDescent="0.2">
      <c r="A640" s="79"/>
      <c r="B640" s="76"/>
      <c r="C640" s="76"/>
      <c r="D640" s="78"/>
      <c r="E640" s="77"/>
      <c r="F640" s="77"/>
      <c r="G640" s="77"/>
      <c r="H640" s="77"/>
      <c r="I640" s="77"/>
      <c r="J640" s="97"/>
      <c r="K640" s="1"/>
      <c r="L640" s="1"/>
      <c r="M640" s="1"/>
      <c r="N640" s="1"/>
      <c r="O640" s="1"/>
      <c r="P640" s="1"/>
      <c r="Q640" s="1"/>
      <c r="R640" s="1"/>
      <c r="S640" s="1"/>
      <c r="T640" s="1"/>
      <c r="U640" s="1"/>
      <c r="V640" s="1"/>
      <c r="W640" s="1"/>
      <c r="X640" s="1"/>
    </row>
    <row r="641" spans="1:24" ht="14.25" customHeight="1" x14ac:dyDescent="0.2">
      <c r="A641" s="79"/>
      <c r="B641" s="76"/>
      <c r="C641" s="76"/>
      <c r="D641" s="78"/>
      <c r="E641" s="77"/>
      <c r="F641" s="77"/>
      <c r="G641" s="77"/>
      <c r="H641" s="77"/>
      <c r="I641" s="77"/>
      <c r="J641" s="97"/>
      <c r="K641" s="1"/>
      <c r="L641" s="1"/>
      <c r="M641" s="1"/>
      <c r="N641" s="1"/>
      <c r="O641" s="1"/>
      <c r="P641" s="1"/>
      <c r="Q641" s="1"/>
      <c r="R641" s="1"/>
      <c r="S641" s="1"/>
      <c r="T641" s="1"/>
      <c r="U641" s="1"/>
      <c r="V641" s="1"/>
      <c r="W641" s="1"/>
      <c r="X641" s="1"/>
    </row>
    <row r="642" spans="1:24" ht="14.25" customHeight="1" x14ac:dyDescent="0.2">
      <c r="A642" s="79"/>
      <c r="B642" s="76"/>
      <c r="C642" s="76"/>
      <c r="D642" s="78"/>
      <c r="E642" s="77"/>
      <c r="F642" s="77"/>
      <c r="G642" s="77"/>
      <c r="H642" s="77"/>
      <c r="I642" s="77"/>
      <c r="J642" s="97"/>
      <c r="K642" s="1"/>
      <c r="L642" s="1"/>
      <c r="M642" s="1"/>
      <c r="N642" s="1"/>
      <c r="O642" s="1"/>
      <c r="P642" s="1"/>
      <c r="Q642" s="1"/>
      <c r="R642" s="1"/>
      <c r="S642" s="1"/>
      <c r="T642" s="1"/>
      <c r="U642" s="1"/>
      <c r="V642" s="1"/>
      <c r="W642" s="1"/>
      <c r="X642" s="1"/>
    </row>
    <row r="643" spans="1:24" ht="14.25" customHeight="1" x14ac:dyDescent="0.2">
      <c r="A643" s="79"/>
      <c r="B643" s="76"/>
      <c r="C643" s="76"/>
      <c r="D643" s="78"/>
      <c r="E643" s="77"/>
      <c r="F643" s="77"/>
      <c r="G643" s="77"/>
      <c r="H643" s="77"/>
      <c r="I643" s="77"/>
      <c r="J643" s="97"/>
      <c r="K643" s="1"/>
      <c r="L643" s="1"/>
      <c r="M643" s="1"/>
      <c r="N643" s="1"/>
      <c r="O643" s="1"/>
      <c r="P643" s="1"/>
      <c r="Q643" s="1"/>
      <c r="R643" s="1"/>
      <c r="S643" s="1"/>
      <c r="T643" s="1"/>
      <c r="U643" s="1"/>
      <c r="V643" s="1"/>
      <c r="W643" s="1"/>
      <c r="X643" s="1"/>
    </row>
    <row r="644" spans="1:24" ht="14.25" customHeight="1" x14ac:dyDescent="0.2">
      <c r="A644" s="79"/>
      <c r="B644" s="76"/>
      <c r="C644" s="76"/>
      <c r="D644" s="78"/>
      <c r="E644" s="77"/>
      <c r="F644" s="77"/>
      <c r="G644" s="77"/>
      <c r="H644" s="77"/>
      <c r="I644" s="77"/>
      <c r="J644" s="97"/>
      <c r="K644" s="1"/>
      <c r="L644" s="1"/>
      <c r="M644" s="1"/>
      <c r="N644" s="1"/>
      <c r="O644" s="1"/>
      <c r="P644" s="1"/>
      <c r="Q644" s="1"/>
      <c r="R644" s="1"/>
      <c r="S644" s="1"/>
      <c r="T644" s="1"/>
      <c r="U644" s="1"/>
      <c r="V644" s="1"/>
      <c r="W644" s="1"/>
      <c r="X644" s="1"/>
    </row>
    <row r="645" spans="1:24" ht="14.25" customHeight="1" x14ac:dyDescent="0.2">
      <c r="A645" s="79"/>
      <c r="B645" s="76"/>
      <c r="C645" s="76"/>
      <c r="D645" s="78"/>
      <c r="E645" s="77"/>
      <c r="F645" s="77"/>
      <c r="G645" s="77"/>
      <c r="H645" s="77"/>
      <c r="I645" s="77"/>
      <c r="J645" s="97"/>
      <c r="K645" s="1"/>
      <c r="L645" s="1"/>
      <c r="M645" s="1"/>
      <c r="N645" s="1"/>
      <c r="O645" s="1"/>
      <c r="P645" s="1"/>
      <c r="Q645" s="1"/>
      <c r="R645" s="1"/>
      <c r="S645" s="1"/>
      <c r="T645" s="1"/>
      <c r="U645" s="1"/>
      <c r="V645" s="1"/>
      <c r="W645" s="1"/>
      <c r="X645" s="1"/>
    </row>
    <row r="646" spans="1:24" ht="14.25" customHeight="1" x14ac:dyDescent="0.2">
      <c r="A646" s="79"/>
      <c r="B646" s="76"/>
      <c r="C646" s="76"/>
      <c r="D646" s="78"/>
      <c r="E646" s="77"/>
      <c r="F646" s="77"/>
      <c r="G646" s="77"/>
      <c r="H646" s="77"/>
      <c r="I646" s="77"/>
      <c r="J646" s="97"/>
      <c r="K646" s="1"/>
      <c r="L646" s="1"/>
      <c r="M646" s="1"/>
      <c r="N646" s="1"/>
      <c r="O646" s="1"/>
      <c r="P646" s="1"/>
      <c r="Q646" s="1"/>
      <c r="R646" s="1"/>
      <c r="S646" s="1"/>
      <c r="T646" s="1"/>
      <c r="U646" s="1"/>
      <c r="V646" s="1"/>
      <c r="W646" s="1"/>
      <c r="X646" s="1"/>
    </row>
    <row r="647" spans="1:24" ht="14.25" customHeight="1" x14ac:dyDescent="0.2">
      <c r="A647" s="79"/>
      <c r="B647" s="76"/>
      <c r="C647" s="76"/>
      <c r="D647" s="78"/>
      <c r="E647" s="77"/>
      <c r="F647" s="77"/>
      <c r="G647" s="77"/>
      <c r="H647" s="77"/>
      <c r="I647" s="77"/>
      <c r="J647" s="97"/>
      <c r="K647" s="1"/>
      <c r="L647" s="1"/>
      <c r="M647" s="1"/>
      <c r="N647" s="1"/>
      <c r="O647" s="1"/>
      <c r="P647" s="1"/>
      <c r="Q647" s="1"/>
      <c r="R647" s="1"/>
      <c r="S647" s="1"/>
      <c r="T647" s="1"/>
      <c r="U647" s="1"/>
      <c r="V647" s="1"/>
      <c r="W647" s="1"/>
      <c r="X647" s="1"/>
    </row>
    <row r="648" spans="1:24" ht="14.25" customHeight="1" x14ac:dyDescent="0.2">
      <c r="A648" s="79"/>
      <c r="B648" s="76"/>
      <c r="C648" s="76"/>
      <c r="D648" s="78"/>
      <c r="E648" s="77"/>
      <c r="F648" s="77"/>
      <c r="G648" s="77"/>
      <c r="H648" s="77"/>
      <c r="I648" s="77"/>
      <c r="J648" s="97"/>
      <c r="K648" s="1"/>
      <c r="L648" s="1"/>
      <c r="M648" s="1"/>
      <c r="N648" s="1"/>
      <c r="O648" s="1"/>
      <c r="P648" s="1"/>
      <c r="Q648" s="1"/>
      <c r="R648" s="1"/>
      <c r="S648" s="1"/>
      <c r="T648" s="1"/>
      <c r="U648" s="1"/>
      <c r="V648" s="1"/>
      <c r="W648" s="1"/>
      <c r="X648" s="1"/>
    </row>
    <row r="649" spans="1:24" ht="14.25" customHeight="1" x14ac:dyDescent="0.2">
      <c r="A649" s="79"/>
      <c r="B649" s="76"/>
      <c r="C649" s="76"/>
      <c r="D649" s="78"/>
      <c r="E649" s="77"/>
      <c r="F649" s="77"/>
      <c r="G649" s="77"/>
      <c r="H649" s="77"/>
      <c r="I649" s="77"/>
      <c r="J649" s="97"/>
      <c r="K649" s="1"/>
      <c r="L649" s="1"/>
      <c r="M649" s="1"/>
      <c r="N649" s="1"/>
      <c r="O649" s="1"/>
      <c r="P649" s="1"/>
      <c r="Q649" s="1"/>
      <c r="R649" s="1"/>
      <c r="S649" s="1"/>
      <c r="T649" s="1"/>
      <c r="U649" s="1"/>
      <c r="V649" s="1"/>
      <c r="W649" s="1"/>
      <c r="X649" s="1"/>
    </row>
    <row r="650" spans="1:24" ht="14.25" customHeight="1" x14ac:dyDescent="0.2">
      <c r="A650" s="79"/>
      <c r="B650" s="76"/>
      <c r="C650" s="76"/>
      <c r="D650" s="78"/>
      <c r="E650" s="77"/>
      <c r="F650" s="77"/>
      <c r="G650" s="77"/>
      <c r="H650" s="77"/>
      <c r="I650" s="77"/>
      <c r="J650" s="97"/>
      <c r="K650" s="1"/>
      <c r="L650" s="1"/>
      <c r="M650" s="1"/>
      <c r="N650" s="1"/>
      <c r="O650" s="1"/>
      <c r="P650" s="1"/>
      <c r="Q650" s="1"/>
      <c r="R650" s="1"/>
      <c r="S650" s="1"/>
      <c r="T650" s="1"/>
      <c r="U650" s="1"/>
      <c r="V650" s="1"/>
      <c r="W650" s="1"/>
      <c r="X650" s="1"/>
    </row>
    <row r="651" spans="1:24" ht="14.25" customHeight="1" x14ac:dyDescent="0.2">
      <c r="A651" s="79"/>
      <c r="B651" s="76"/>
      <c r="C651" s="76"/>
      <c r="D651" s="78"/>
      <c r="E651" s="77"/>
      <c r="F651" s="77"/>
      <c r="G651" s="77"/>
      <c r="H651" s="77"/>
      <c r="I651" s="77"/>
      <c r="J651" s="97"/>
      <c r="K651" s="1"/>
      <c r="L651" s="1"/>
      <c r="M651" s="1"/>
      <c r="N651" s="1"/>
      <c r="O651" s="1"/>
      <c r="P651" s="1"/>
      <c r="Q651" s="1"/>
      <c r="R651" s="1"/>
      <c r="S651" s="1"/>
      <c r="T651" s="1"/>
      <c r="U651" s="1"/>
      <c r="V651" s="1"/>
      <c r="W651" s="1"/>
      <c r="X651" s="1"/>
    </row>
    <row r="652" spans="1:24" ht="14.25" customHeight="1" x14ac:dyDescent="0.2">
      <c r="A652" s="79"/>
      <c r="B652" s="76"/>
      <c r="C652" s="76"/>
      <c r="D652" s="78"/>
      <c r="E652" s="77"/>
      <c r="F652" s="77"/>
      <c r="G652" s="77"/>
      <c r="H652" s="77"/>
      <c r="I652" s="77"/>
      <c r="J652" s="97"/>
      <c r="K652" s="1"/>
      <c r="L652" s="1"/>
      <c r="M652" s="1"/>
      <c r="N652" s="1"/>
      <c r="O652" s="1"/>
      <c r="P652" s="1"/>
      <c r="Q652" s="1"/>
      <c r="R652" s="1"/>
      <c r="S652" s="1"/>
      <c r="T652" s="1"/>
      <c r="U652" s="1"/>
      <c r="V652" s="1"/>
      <c r="W652" s="1"/>
      <c r="X652" s="1"/>
    </row>
    <row r="653" spans="1:24" ht="14.25" customHeight="1" x14ac:dyDescent="0.2">
      <c r="A653" s="79"/>
      <c r="B653" s="76"/>
      <c r="C653" s="76"/>
      <c r="D653" s="78"/>
      <c r="E653" s="77"/>
      <c r="F653" s="77"/>
      <c r="G653" s="77"/>
      <c r="H653" s="77"/>
      <c r="I653" s="77"/>
      <c r="J653" s="97"/>
      <c r="K653" s="1"/>
      <c r="L653" s="1"/>
      <c r="M653" s="1"/>
      <c r="N653" s="1"/>
      <c r="O653" s="1"/>
      <c r="P653" s="1"/>
      <c r="Q653" s="1"/>
      <c r="R653" s="1"/>
      <c r="S653" s="1"/>
      <c r="T653" s="1"/>
      <c r="U653" s="1"/>
      <c r="V653" s="1"/>
      <c r="W653" s="1"/>
      <c r="X653" s="1"/>
    </row>
    <row r="654" spans="1:24" ht="14.25" customHeight="1" x14ac:dyDescent="0.2">
      <c r="A654" s="79"/>
      <c r="B654" s="76"/>
      <c r="C654" s="76"/>
      <c r="D654" s="78"/>
      <c r="E654" s="77"/>
      <c r="F654" s="77"/>
      <c r="G654" s="77"/>
      <c r="H654" s="77"/>
      <c r="I654" s="77"/>
      <c r="J654" s="97"/>
      <c r="K654" s="1"/>
      <c r="L654" s="1"/>
      <c r="M654" s="1"/>
      <c r="N654" s="1"/>
      <c r="O654" s="1"/>
      <c r="P654" s="1"/>
      <c r="Q654" s="1"/>
      <c r="R654" s="1"/>
      <c r="S654" s="1"/>
      <c r="T654" s="1"/>
      <c r="U654" s="1"/>
      <c r="V654" s="1"/>
      <c r="W654" s="1"/>
      <c r="X654" s="1"/>
    </row>
    <row r="655" spans="1:24" ht="14.25" customHeight="1" x14ac:dyDescent="0.2">
      <c r="A655" s="79"/>
      <c r="B655" s="76"/>
      <c r="C655" s="76"/>
      <c r="D655" s="78"/>
      <c r="E655" s="77"/>
      <c r="F655" s="77"/>
      <c r="G655" s="77"/>
      <c r="H655" s="77"/>
      <c r="I655" s="77"/>
      <c r="J655" s="97"/>
      <c r="K655" s="1"/>
      <c r="L655" s="1"/>
      <c r="M655" s="1"/>
      <c r="N655" s="1"/>
      <c r="O655" s="1"/>
      <c r="P655" s="1"/>
      <c r="Q655" s="1"/>
      <c r="R655" s="1"/>
      <c r="S655" s="1"/>
      <c r="T655" s="1"/>
      <c r="U655" s="1"/>
      <c r="V655" s="1"/>
      <c r="W655" s="1"/>
      <c r="X655" s="1"/>
    </row>
    <row r="656" spans="1:24" ht="14.25" customHeight="1" x14ac:dyDescent="0.2">
      <c r="A656" s="79"/>
      <c r="B656" s="76"/>
      <c r="C656" s="76"/>
      <c r="D656" s="78"/>
      <c r="E656" s="77"/>
      <c r="F656" s="77"/>
      <c r="G656" s="77"/>
      <c r="H656" s="77"/>
      <c r="I656" s="77"/>
      <c r="J656" s="97"/>
      <c r="K656" s="1"/>
      <c r="L656" s="1"/>
      <c r="M656" s="1"/>
      <c r="N656" s="1"/>
      <c r="O656" s="1"/>
      <c r="P656" s="1"/>
      <c r="Q656" s="1"/>
      <c r="R656" s="1"/>
      <c r="S656" s="1"/>
      <c r="T656" s="1"/>
      <c r="U656" s="1"/>
      <c r="V656" s="1"/>
      <c r="W656" s="1"/>
      <c r="X656" s="1"/>
    </row>
    <row r="657" spans="1:24" ht="14.25" customHeight="1" x14ac:dyDescent="0.2">
      <c r="A657" s="79"/>
      <c r="B657" s="76"/>
      <c r="C657" s="76"/>
      <c r="D657" s="78"/>
      <c r="E657" s="77"/>
      <c r="F657" s="77"/>
      <c r="G657" s="77"/>
      <c r="H657" s="77"/>
      <c r="I657" s="77"/>
      <c r="J657" s="97"/>
      <c r="K657" s="1"/>
      <c r="L657" s="1"/>
      <c r="M657" s="1"/>
      <c r="N657" s="1"/>
      <c r="O657" s="1"/>
      <c r="P657" s="1"/>
      <c r="Q657" s="1"/>
      <c r="R657" s="1"/>
      <c r="S657" s="1"/>
      <c r="T657" s="1"/>
      <c r="U657" s="1"/>
      <c r="V657" s="1"/>
      <c r="W657" s="1"/>
      <c r="X657" s="1"/>
    </row>
    <row r="658" spans="1:24" ht="14.25" customHeight="1" x14ac:dyDescent="0.2">
      <c r="A658" s="79"/>
      <c r="B658" s="76"/>
      <c r="C658" s="76"/>
      <c r="D658" s="78"/>
      <c r="E658" s="77"/>
      <c r="F658" s="77"/>
      <c r="G658" s="77"/>
      <c r="H658" s="77"/>
      <c r="I658" s="77"/>
      <c r="J658" s="97"/>
      <c r="K658" s="1"/>
      <c r="L658" s="1"/>
      <c r="M658" s="1"/>
      <c r="N658" s="1"/>
      <c r="O658" s="1"/>
      <c r="P658" s="1"/>
      <c r="Q658" s="1"/>
      <c r="R658" s="1"/>
      <c r="S658" s="1"/>
      <c r="T658" s="1"/>
      <c r="U658" s="1"/>
      <c r="V658" s="1"/>
      <c r="W658" s="1"/>
      <c r="X658" s="1"/>
    </row>
    <row r="659" spans="1:24" ht="14.25" customHeight="1" x14ac:dyDescent="0.2">
      <c r="A659" s="79"/>
      <c r="B659" s="76"/>
      <c r="C659" s="76"/>
      <c r="D659" s="78"/>
      <c r="E659" s="77"/>
      <c r="F659" s="77"/>
      <c r="G659" s="77"/>
      <c r="H659" s="77"/>
      <c r="I659" s="77"/>
      <c r="J659" s="97"/>
      <c r="K659" s="1"/>
      <c r="L659" s="1"/>
      <c r="M659" s="1"/>
      <c r="N659" s="1"/>
      <c r="O659" s="1"/>
      <c r="P659" s="1"/>
      <c r="Q659" s="1"/>
      <c r="R659" s="1"/>
      <c r="S659" s="1"/>
      <c r="T659" s="1"/>
      <c r="U659" s="1"/>
      <c r="V659" s="1"/>
      <c r="W659" s="1"/>
      <c r="X659" s="1"/>
    </row>
    <row r="660" spans="1:24" ht="14.25" customHeight="1" x14ac:dyDescent="0.2">
      <c r="A660" s="79"/>
      <c r="B660" s="76"/>
      <c r="C660" s="76"/>
      <c r="D660" s="78"/>
      <c r="E660" s="77"/>
      <c r="F660" s="77"/>
      <c r="G660" s="77"/>
      <c r="H660" s="77"/>
      <c r="I660" s="77"/>
      <c r="J660" s="97"/>
      <c r="K660" s="1"/>
      <c r="L660" s="1"/>
      <c r="M660" s="1"/>
      <c r="N660" s="1"/>
      <c r="O660" s="1"/>
      <c r="P660" s="1"/>
      <c r="Q660" s="1"/>
      <c r="R660" s="1"/>
      <c r="S660" s="1"/>
      <c r="T660" s="1"/>
      <c r="U660" s="1"/>
      <c r="V660" s="1"/>
      <c r="W660" s="1"/>
      <c r="X660" s="1"/>
    </row>
    <row r="661" spans="1:24" ht="14.25" customHeight="1" x14ac:dyDescent="0.2">
      <c r="A661" s="79"/>
      <c r="B661" s="76"/>
      <c r="C661" s="76"/>
      <c r="D661" s="78"/>
      <c r="E661" s="77"/>
      <c r="F661" s="77"/>
      <c r="G661" s="77"/>
      <c r="H661" s="77"/>
      <c r="I661" s="77"/>
      <c r="J661" s="97"/>
      <c r="K661" s="1"/>
      <c r="L661" s="1"/>
      <c r="M661" s="1"/>
      <c r="N661" s="1"/>
      <c r="O661" s="1"/>
      <c r="P661" s="1"/>
      <c r="Q661" s="1"/>
      <c r="R661" s="1"/>
      <c r="S661" s="1"/>
      <c r="T661" s="1"/>
      <c r="U661" s="1"/>
      <c r="V661" s="1"/>
      <c r="W661" s="1"/>
      <c r="X661" s="1"/>
    </row>
    <row r="662" spans="1:24" ht="14.25" customHeight="1" x14ac:dyDescent="0.2">
      <c r="A662" s="79"/>
      <c r="B662" s="76"/>
      <c r="C662" s="76"/>
      <c r="D662" s="78"/>
      <c r="E662" s="77"/>
      <c r="F662" s="77"/>
      <c r="G662" s="77"/>
      <c r="H662" s="77"/>
      <c r="I662" s="77"/>
      <c r="J662" s="97"/>
      <c r="K662" s="1"/>
      <c r="L662" s="1"/>
      <c r="M662" s="1"/>
      <c r="N662" s="1"/>
      <c r="O662" s="1"/>
      <c r="P662" s="1"/>
      <c r="Q662" s="1"/>
      <c r="R662" s="1"/>
      <c r="S662" s="1"/>
      <c r="T662" s="1"/>
      <c r="U662" s="1"/>
      <c r="V662" s="1"/>
      <c r="W662" s="1"/>
      <c r="X662" s="1"/>
    </row>
    <row r="663" spans="1:24" ht="14.25" customHeight="1" x14ac:dyDescent="0.2">
      <c r="A663" s="79"/>
      <c r="B663" s="76"/>
      <c r="C663" s="76"/>
      <c r="D663" s="78"/>
      <c r="E663" s="77"/>
      <c r="F663" s="77"/>
      <c r="G663" s="77"/>
      <c r="H663" s="77"/>
      <c r="I663" s="77"/>
      <c r="J663" s="97"/>
      <c r="K663" s="1"/>
      <c r="L663" s="1"/>
      <c r="M663" s="1"/>
      <c r="N663" s="1"/>
      <c r="O663" s="1"/>
      <c r="P663" s="1"/>
      <c r="Q663" s="1"/>
      <c r="R663" s="1"/>
      <c r="S663" s="1"/>
      <c r="T663" s="1"/>
      <c r="U663" s="1"/>
      <c r="V663" s="1"/>
      <c r="W663" s="1"/>
      <c r="X663" s="1"/>
    </row>
    <row r="664" spans="1:24" ht="14.25" customHeight="1" x14ac:dyDescent="0.2">
      <c r="A664" s="79"/>
      <c r="B664" s="76"/>
      <c r="C664" s="76"/>
      <c r="D664" s="78"/>
      <c r="E664" s="77"/>
      <c r="F664" s="77"/>
      <c r="G664" s="77"/>
      <c r="H664" s="77"/>
      <c r="I664" s="77"/>
      <c r="J664" s="97"/>
      <c r="K664" s="1"/>
      <c r="L664" s="1"/>
      <c r="M664" s="1"/>
      <c r="N664" s="1"/>
      <c r="O664" s="1"/>
      <c r="P664" s="1"/>
      <c r="Q664" s="1"/>
      <c r="R664" s="1"/>
      <c r="S664" s="1"/>
      <c r="T664" s="1"/>
      <c r="U664" s="1"/>
      <c r="V664" s="1"/>
      <c r="W664" s="1"/>
      <c r="X664" s="1"/>
    </row>
    <row r="665" spans="1:24" ht="14.25" customHeight="1" x14ac:dyDescent="0.2">
      <c r="A665" s="79"/>
      <c r="B665" s="76"/>
      <c r="C665" s="76"/>
      <c r="D665" s="78"/>
      <c r="E665" s="77"/>
      <c r="F665" s="77"/>
      <c r="G665" s="77"/>
      <c r="H665" s="77"/>
      <c r="I665" s="77"/>
      <c r="J665" s="97"/>
      <c r="K665" s="1"/>
      <c r="L665" s="1"/>
      <c r="M665" s="1"/>
      <c r="N665" s="1"/>
      <c r="O665" s="1"/>
      <c r="P665" s="1"/>
      <c r="Q665" s="1"/>
      <c r="R665" s="1"/>
      <c r="S665" s="1"/>
      <c r="T665" s="1"/>
      <c r="U665" s="1"/>
      <c r="V665" s="1"/>
      <c r="W665" s="1"/>
      <c r="X665" s="1"/>
    </row>
    <row r="666" spans="1:24" ht="14.25" customHeight="1" x14ac:dyDescent="0.2">
      <c r="A666" s="79"/>
      <c r="B666" s="76"/>
      <c r="C666" s="76"/>
      <c r="D666" s="78"/>
      <c r="E666" s="77"/>
      <c r="F666" s="77"/>
      <c r="G666" s="77"/>
      <c r="H666" s="77"/>
      <c r="I666" s="77"/>
      <c r="J666" s="97"/>
      <c r="K666" s="1"/>
      <c r="L666" s="1"/>
      <c r="M666" s="1"/>
      <c r="N666" s="1"/>
      <c r="O666" s="1"/>
      <c r="P666" s="1"/>
      <c r="Q666" s="1"/>
      <c r="R666" s="1"/>
      <c r="S666" s="1"/>
      <c r="T666" s="1"/>
      <c r="U666" s="1"/>
      <c r="V666" s="1"/>
      <c r="W666" s="1"/>
      <c r="X666" s="1"/>
    </row>
    <row r="667" spans="1:24" ht="14.25" customHeight="1" x14ac:dyDescent="0.2">
      <c r="A667" s="79"/>
      <c r="B667" s="76"/>
      <c r="C667" s="76"/>
      <c r="D667" s="78"/>
      <c r="E667" s="77"/>
      <c r="F667" s="77"/>
      <c r="G667" s="77"/>
      <c r="H667" s="77"/>
      <c r="I667" s="77"/>
      <c r="J667" s="97"/>
      <c r="K667" s="1"/>
      <c r="L667" s="1"/>
      <c r="M667" s="1"/>
      <c r="N667" s="1"/>
      <c r="O667" s="1"/>
      <c r="P667" s="1"/>
      <c r="Q667" s="1"/>
      <c r="R667" s="1"/>
      <c r="S667" s="1"/>
      <c r="T667" s="1"/>
      <c r="U667" s="1"/>
      <c r="V667" s="1"/>
      <c r="W667" s="1"/>
      <c r="X667" s="1"/>
    </row>
    <row r="668" spans="1:24" ht="14.25" customHeight="1" x14ac:dyDescent="0.2">
      <c r="A668" s="79"/>
      <c r="B668" s="76"/>
      <c r="C668" s="76"/>
      <c r="D668" s="78"/>
      <c r="E668" s="77"/>
      <c r="F668" s="77"/>
      <c r="G668" s="77"/>
      <c r="H668" s="77"/>
      <c r="I668" s="77"/>
      <c r="J668" s="97"/>
      <c r="K668" s="1"/>
      <c r="L668" s="1"/>
      <c r="M668" s="1"/>
      <c r="N668" s="1"/>
      <c r="O668" s="1"/>
      <c r="P668" s="1"/>
      <c r="Q668" s="1"/>
      <c r="R668" s="1"/>
      <c r="S668" s="1"/>
      <c r="T668" s="1"/>
      <c r="U668" s="1"/>
      <c r="V668" s="1"/>
      <c r="W668" s="1"/>
      <c r="X668" s="1"/>
    </row>
    <row r="669" spans="1:24" ht="14.25" customHeight="1" x14ac:dyDescent="0.2">
      <c r="A669" s="79"/>
      <c r="B669" s="76"/>
      <c r="C669" s="76"/>
      <c r="D669" s="78"/>
      <c r="E669" s="77"/>
      <c r="F669" s="77"/>
      <c r="G669" s="77"/>
      <c r="H669" s="77"/>
      <c r="I669" s="77"/>
      <c r="J669" s="97"/>
      <c r="K669" s="1"/>
      <c r="L669" s="1"/>
      <c r="M669" s="1"/>
      <c r="N669" s="1"/>
      <c r="O669" s="1"/>
      <c r="P669" s="1"/>
      <c r="Q669" s="1"/>
      <c r="R669" s="1"/>
      <c r="S669" s="1"/>
      <c r="T669" s="1"/>
      <c r="U669" s="1"/>
      <c r="V669" s="1"/>
      <c r="W669" s="1"/>
      <c r="X669" s="1"/>
    </row>
    <row r="670" spans="1:24" ht="14.25" customHeight="1" x14ac:dyDescent="0.2">
      <c r="A670" s="79"/>
      <c r="B670" s="76"/>
      <c r="C670" s="76"/>
      <c r="D670" s="78"/>
      <c r="E670" s="77"/>
      <c r="F670" s="77"/>
      <c r="G670" s="77"/>
      <c r="H670" s="77"/>
      <c r="I670" s="77"/>
      <c r="J670" s="97"/>
      <c r="K670" s="1"/>
      <c r="L670" s="1"/>
      <c r="M670" s="1"/>
      <c r="N670" s="1"/>
      <c r="O670" s="1"/>
      <c r="P670" s="1"/>
      <c r="Q670" s="1"/>
      <c r="R670" s="1"/>
      <c r="S670" s="1"/>
      <c r="T670" s="1"/>
      <c r="U670" s="1"/>
      <c r="V670" s="1"/>
      <c r="W670" s="1"/>
      <c r="X670" s="1"/>
    </row>
    <row r="671" spans="1:24" ht="14.25" customHeight="1" x14ac:dyDescent="0.2">
      <c r="A671" s="79"/>
      <c r="B671" s="76"/>
      <c r="C671" s="76"/>
      <c r="D671" s="78"/>
      <c r="E671" s="77"/>
      <c r="F671" s="77"/>
      <c r="G671" s="77"/>
      <c r="H671" s="77"/>
      <c r="I671" s="77"/>
      <c r="J671" s="97"/>
      <c r="K671" s="1"/>
      <c r="L671" s="1"/>
      <c r="M671" s="1"/>
      <c r="N671" s="1"/>
      <c r="O671" s="1"/>
      <c r="P671" s="1"/>
      <c r="Q671" s="1"/>
      <c r="R671" s="1"/>
      <c r="S671" s="1"/>
      <c r="T671" s="1"/>
      <c r="U671" s="1"/>
      <c r="V671" s="1"/>
      <c r="W671" s="1"/>
      <c r="X671" s="1"/>
    </row>
    <row r="672" spans="1:24" ht="14.25" customHeight="1" x14ac:dyDescent="0.2">
      <c r="A672" s="79"/>
      <c r="B672" s="76"/>
      <c r="C672" s="76"/>
      <c r="D672" s="78"/>
      <c r="E672" s="77"/>
      <c r="F672" s="77"/>
      <c r="G672" s="77"/>
      <c r="H672" s="77"/>
      <c r="I672" s="77"/>
      <c r="J672" s="97"/>
      <c r="K672" s="1"/>
      <c r="L672" s="1"/>
      <c r="M672" s="1"/>
      <c r="N672" s="1"/>
      <c r="O672" s="1"/>
      <c r="P672" s="1"/>
      <c r="Q672" s="1"/>
      <c r="R672" s="1"/>
      <c r="S672" s="1"/>
      <c r="T672" s="1"/>
      <c r="U672" s="1"/>
      <c r="V672" s="1"/>
      <c r="W672" s="1"/>
      <c r="X672" s="1"/>
    </row>
    <row r="673" spans="1:24" ht="14.25" customHeight="1" x14ac:dyDescent="0.2">
      <c r="A673" s="79"/>
      <c r="B673" s="76"/>
      <c r="C673" s="76"/>
      <c r="D673" s="78"/>
      <c r="E673" s="77"/>
      <c r="F673" s="77"/>
      <c r="G673" s="77"/>
      <c r="H673" s="77"/>
      <c r="I673" s="77"/>
      <c r="J673" s="97"/>
      <c r="K673" s="1"/>
      <c r="L673" s="1"/>
      <c r="M673" s="1"/>
      <c r="N673" s="1"/>
      <c r="O673" s="1"/>
      <c r="P673" s="1"/>
      <c r="Q673" s="1"/>
      <c r="R673" s="1"/>
      <c r="S673" s="1"/>
      <c r="T673" s="1"/>
      <c r="U673" s="1"/>
      <c r="V673" s="1"/>
      <c r="W673" s="1"/>
      <c r="X673" s="1"/>
    </row>
    <row r="674" spans="1:24" ht="14.25" customHeight="1" x14ac:dyDescent="0.2">
      <c r="A674" s="79"/>
      <c r="B674" s="76"/>
      <c r="C674" s="76"/>
      <c r="D674" s="78"/>
      <c r="E674" s="77"/>
      <c r="F674" s="77"/>
      <c r="G674" s="77"/>
      <c r="H674" s="77"/>
      <c r="I674" s="77"/>
      <c r="J674" s="97"/>
      <c r="K674" s="1"/>
      <c r="L674" s="1"/>
      <c r="M674" s="1"/>
      <c r="N674" s="1"/>
      <c r="O674" s="1"/>
      <c r="P674" s="1"/>
      <c r="Q674" s="1"/>
      <c r="R674" s="1"/>
      <c r="S674" s="1"/>
      <c r="T674" s="1"/>
      <c r="U674" s="1"/>
      <c r="V674" s="1"/>
      <c r="W674" s="1"/>
      <c r="X674" s="1"/>
    </row>
    <row r="675" spans="1:24" ht="14.25" customHeight="1" x14ac:dyDescent="0.2">
      <c r="A675" s="79"/>
      <c r="B675" s="76"/>
      <c r="C675" s="76"/>
      <c r="D675" s="78"/>
      <c r="E675" s="77"/>
      <c r="F675" s="77"/>
      <c r="G675" s="77"/>
      <c r="H675" s="77"/>
      <c r="I675" s="77"/>
      <c r="J675" s="97"/>
      <c r="K675" s="1"/>
      <c r="L675" s="1"/>
      <c r="M675" s="1"/>
      <c r="N675" s="1"/>
      <c r="O675" s="1"/>
      <c r="P675" s="1"/>
      <c r="Q675" s="1"/>
      <c r="R675" s="1"/>
      <c r="S675" s="1"/>
      <c r="T675" s="1"/>
      <c r="U675" s="1"/>
      <c r="V675" s="1"/>
      <c r="W675" s="1"/>
      <c r="X675" s="1"/>
    </row>
    <row r="676" spans="1:24" ht="14.25" customHeight="1" x14ac:dyDescent="0.2">
      <c r="A676" s="79"/>
      <c r="B676" s="76"/>
      <c r="C676" s="76"/>
      <c r="D676" s="78"/>
      <c r="E676" s="77"/>
      <c r="F676" s="77"/>
      <c r="G676" s="77"/>
      <c r="H676" s="77"/>
      <c r="I676" s="77"/>
      <c r="J676" s="97"/>
      <c r="K676" s="1"/>
      <c r="L676" s="1"/>
      <c r="M676" s="1"/>
      <c r="N676" s="1"/>
      <c r="O676" s="1"/>
      <c r="P676" s="1"/>
      <c r="Q676" s="1"/>
      <c r="R676" s="1"/>
      <c r="S676" s="1"/>
      <c r="T676" s="1"/>
      <c r="U676" s="1"/>
      <c r="V676" s="1"/>
      <c r="W676" s="1"/>
      <c r="X676" s="1"/>
    </row>
    <row r="677" spans="1:24" ht="14.25" customHeight="1" x14ac:dyDescent="0.2">
      <c r="A677" s="79"/>
      <c r="B677" s="76"/>
      <c r="C677" s="76"/>
      <c r="D677" s="78"/>
      <c r="E677" s="77"/>
      <c r="F677" s="77"/>
      <c r="G677" s="77"/>
      <c r="H677" s="77"/>
      <c r="I677" s="77"/>
      <c r="J677" s="97"/>
      <c r="K677" s="1"/>
      <c r="L677" s="1"/>
      <c r="M677" s="1"/>
      <c r="N677" s="1"/>
      <c r="O677" s="1"/>
      <c r="P677" s="1"/>
      <c r="Q677" s="1"/>
      <c r="R677" s="1"/>
      <c r="S677" s="1"/>
      <c r="T677" s="1"/>
      <c r="U677" s="1"/>
      <c r="V677" s="1"/>
      <c r="W677" s="1"/>
      <c r="X677" s="1"/>
    </row>
    <row r="678" spans="1:24" ht="14.25" customHeight="1" x14ac:dyDescent="0.2">
      <c r="A678" s="79"/>
      <c r="B678" s="76"/>
      <c r="C678" s="76"/>
      <c r="D678" s="78"/>
      <c r="E678" s="77"/>
      <c r="F678" s="77"/>
      <c r="G678" s="77"/>
      <c r="H678" s="77"/>
      <c r="I678" s="77"/>
      <c r="J678" s="97"/>
      <c r="K678" s="1"/>
      <c r="L678" s="1"/>
      <c r="M678" s="1"/>
      <c r="N678" s="1"/>
      <c r="O678" s="1"/>
      <c r="P678" s="1"/>
      <c r="Q678" s="1"/>
      <c r="R678" s="1"/>
      <c r="S678" s="1"/>
      <c r="T678" s="1"/>
      <c r="U678" s="1"/>
      <c r="V678" s="1"/>
      <c r="W678" s="1"/>
      <c r="X678" s="1"/>
    </row>
    <row r="679" spans="1:24" ht="14.25" customHeight="1" x14ac:dyDescent="0.2">
      <c r="A679" s="79"/>
      <c r="B679" s="76"/>
      <c r="C679" s="76"/>
      <c r="D679" s="78"/>
      <c r="E679" s="77"/>
      <c r="F679" s="77"/>
      <c r="G679" s="77"/>
      <c r="H679" s="77"/>
      <c r="I679" s="77"/>
      <c r="J679" s="97"/>
      <c r="K679" s="1"/>
      <c r="L679" s="1"/>
      <c r="M679" s="1"/>
      <c r="N679" s="1"/>
      <c r="O679" s="1"/>
      <c r="P679" s="1"/>
      <c r="Q679" s="1"/>
      <c r="R679" s="1"/>
      <c r="S679" s="1"/>
      <c r="T679" s="1"/>
      <c r="U679" s="1"/>
      <c r="V679" s="1"/>
      <c r="W679" s="1"/>
      <c r="X679" s="1"/>
    </row>
    <row r="680" spans="1:24" ht="14.25" customHeight="1" x14ac:dyDescent="0.2">
      <c r="A680" s="79"/>
      <c r="B680" s="76"/>
      <c r="C680" s="76"/>
      <c r="D680" s="78"/>
      <c r="E680" s="77"/>
      <c r="F680" s="77"/>
      <c r="G680" s="77"/>
      <c r="H680" s="77"/>
      <c r="I680" s="77"/>
      <c r="J680" s="97"/>
      <c r="K680" s="1"/>
      <c r="L680" s="1"/>
      <c r="M680" s="1"/>
      <c r="N680" s="1"/>
      <c r="O680" s="1"/>
      <c r="P680" s="1"/>
      <c r="Q680" s="1"/>
      <c r="R680" s="1"/>
      <c r="S680" s="1"/>
      <c r="T680" s="1"/>
      <c r="U680" s="1"/>
      <c r="V680" s="1"/>
      <c r="W680" s="1"/>
      <c r="X680" s="1"/>
    </row>
    <row r="681" spans="1:24" ht="14.25" customHeight="1" x14ac:dyDescent="0.2">
      <c r="A681" s="79"/>
      <c r="B681" s="76"/>
      <c r="C681" s="76"/>
      <c r="D681" s="78"/>
      <c r="E681" s="77"/>
      <c r="F681" s="77"/>
      <c r="G681" s="77"/>
      <c r="H681" s="77"/>
      <c r="I681" s="77"/>
      <c r="J681" s="97"/>
      <c r="K681" s="1"/>
      <c r="L681" s="1"/>
      <c r="M681" s="1"/>
      <c r="N681" s="1"/>
      <c r="O681" s="1"/>
      <c r="P681" s="1"/>
      <c r="Q681" s="1"/>
      <c r="R681" s="1"/>
      <c r="S681" s="1"/>
      <c r="T681" s="1"/>
      <c r="U681" s="1"/>
      <c r="V681" s="1"/>
      <c r="W681" s="1"/>
      <c r="X681" s="1"/>
    </row>
    <row r="682" spans="1:24" ht="14.25" customHeight="1" x14ac:dyDescent="0.2">
      <c r="A682" s="79"/>
      <c r="B682" s="76"/>
      <c r="C682" s="76"/>
      <c r="D682" s="78"/>
      <c r="E682" s="77"/>
      <c r="F682" s="77"/>
      <c r="G682" s="77"/>
      <c r="H682" s="77"/>
      <c r="I682" s="77"/>
      <c r="J682" s="97"/>
      <c r="K682" s="1"/>
      <c r="L682" s="1"/>
      <c r="M682" s="1"/>
      <c r="N682" s="1"/>
      <c r="O682" s="1"/>
      <c r="P682" s="1"/>
      <c r="Q682" s="1"/>
      <c r="R682" s="1"/>
      <c r="S682" s="1"/>
      <c r="T682" s="1"/>
      <c r="U682" s="1"/>
      <c r="V682" s="1"/>
      <c r="W682" s="1"/>
      <c r="X682" s="1"/>
    </row>
    <row r="683" spans="1:24" ht="14.25" customHeight="1" x14ac:dyDescent="0.2">
      <c r="A683" s="79"/>
      <c r="B683" s="76"/>
      <c r="C683" s="76"/>
      <c r="D683" s="78"/>
      <c r="E683" s="77"/>
      <c r="F683" s="77"/>
      <c r="G683" s="77"/>
      <c r="H683" s="77"/>
      <c r="I683" s="77"/>
      <c r="J683" s="97"/>
      <c r="K683" s="1"/>
      <c r="L683" s="1"/>
      <c r="M683" s="1"/>
      <c r="N683" s="1"/>
      <c r="O683" s="1"/>
      <c r="P683" s="1"/>
      <c r="Q683" s="1"/>
      <c r="R683" s="1"/>
      <c r="S683" s="1"/>
      <c r="T683" s="1"/>
      <c r="U683" s="1"/>
      <c r="V683" s="1"/>
      <c r="W683" s="1"/>
      <c r="X683" s="1"/>
    </row>
    <row r="684" spans="1:24" ht="14.25" customHeight="1" x14ac:dyDescent="0.2">
      <c r="A684" s="79"/>
      <c r="B684" s="76"/>
      <c r="C684" s="76"/>
      <c r="D684" s="78"/>
      <c r="E684" s="77"/>
      <c r="F684" s="77"/>
      <c r="G684" s="77"/>
      <c r="H684" s="77"/>
      <c r="I684" s="77"/>
      <c r="J684" s="97"/>
      <c r="K684" s="1"/>
      <c r="L684" s="1"/>
      <c r="M684" s="1"/>
      <c r="N684" s="1"/>
      <c r="O684" s="1"/>
      <c r="P684" s="1"/>
      <c r="Q684" s="1"/>
      <c r="R684" s="1"/>
      <c r="S684" s="1"/>
      <c r="T684" s="1"/>
      <c r="U684" s="1"/>
      <c r="V684" s="1"/>
      <c r="W684" s="1"/>
      <c r="X684" s="1"/>
    </row>
    <row r="685" spans="1:24" ht="14.25" customHeight="1" x14ac:dyDescent="0.2">
      <c r="A685" s="79"/>
      <c r="B685" s="76"/>
      <c r="C685" s="76"/>
      <c r="D685" s="78"/>
      <c r="E685" s="77"/>
      <c r="F685" s="77"/>
      <c r="G685" s="77"/>
      <c r="H685" s="77"/>
      <c r="I685" s="77"/>
      <c r="J685" s="97"/>
      <c r="K685" s="1"/>
      <c r="L685" s="1"/>
      <c r="M685" s="1"/>
      <c r="N685" s="1"/>
      <c r="O685" s="1"/>
      <c r="P685" s="1"/>
      <c r="Q685" s="1"/>
      <c r="R685" s="1"/>
      <c r="S685" s="1"/>
      <c r="T685" s="1"/>
      <c r="U685" s="1"/>
      <c r="V685" s="1"/>
      <c r="W685" s="1"/>
      <c r="X685" s="1"/>
    </row>
    <row r="686" spans="1:24" ht="14.25" customHeight="1" x14ac:dyDescent="0.2">
      <c r="A686" s="79"/>
      <c r="B686" s="76"/>
      <c r="C686" s="76"/>
      <c r="D686" s="78"/>
      <c r="E686" s="77"/>
      <c r="F686" s="77"/>
      <c r="G686" s="77"/>
      <c r="H686" s="77"/>
      <c r="I686" s="77"/>
      <c r="J686" s="97"/>
      <c r="K686" s="1"/>
      <c r="L686" s="1"/>
      <c r="M686" s="1"/>
      <c r="N686" s="1"/>
      <c r="O686" s="1"/>
      <c r="P686" s="1"/>
      <c r="Q686" s="1"/>
      <c r="R686" s="1"/>
      <c r="S686" s="1"/>
      <c r="T686" s="1"/>
      <c r="U686" s="1"/>
      <c r="V686" s="1"/>
      <c r="W686" s="1"/>
      <c r="X686" s="1"/>
    </row>
    <row r="687" spans="1:24" ht="14.25" customHeight="1" x14ac:dyDescent="0.2">
      <c r="A687" s="79"/>
      <c r="B687" s="76"/>
      <c r="C687" s="76"/>
      <c r="D687" s="78"/>
      <c r="E687" s="77"/>
      <c r="F687" s="77"/>
      <c r="G687" s="77"/>
      <c r="H687" s="77"/>
      <c r="I687" s="77"/>
      <c r="J687" s="97"/>
      <c r="K687" s="1"/>
      <c r="L687" s="1"/>
      <c r="M687" s="1"/>
      <c r="N687" s="1"/>
      <c r="O687" s="1"/>
      <c r="P687" s="1"/>
      <c r="Q687" s="1"/>
      <c r="R687" s="1"/>
      <c r="S687" s="1"/>
      <c r="T687" s="1"/>
      <c r="U687" s="1"/>
      <c r="V687" s="1"/>
      <c r="W687" s="1"/>
      <c r="X687" s="1"/>
    </row>
    <row r="688" spans="1:24" ht="14.25" customHeight="1" x14ac:dyDescent="0.2">
      <c r="A688" s="79"/>
      <c r="B688" s="76"/>
      <c r="C688" s="76"/>
      <c r="D688" s="78"/>
      <c r="E688" s="77"/>
      <c r="F688" s="77"/>
      <c r="G688" s="77"/>
      <c r="H688" s="77"/>
      <c r="I688" s="77"/>
      <c r="J688" s="97"/>
      <c r="K688" s="1"/>
      <c r="L688" s="1"/>
      <c r="M688" s="1"/>
      <c r="N688" s="1"/>
      <c r="O688" s="1"/>
      <c r="P688" s="1"/>
      <c r="Q688" s="1"/>
      <c r="R688" s="1"/>
      <c r="S688" s="1"/>
      <c r="T688" s="1"/>
      <c r="U688" s="1"/>
      <c r="V688" s="1"/>
      <c r="W688" s="1"/>
      <c r="X688" s="1"/>
    </row>
    <row r="689" spans="1:24" ht="14.25" customHeight="1" x14ac:dyDescent="0.2">
      <c r="A689" s="79"/>
      <c r="B689" s="76"/>
      <c r="C689" s="76"/>
      <c r="D689" s="78"/>
      <c r="E689" s="77"/>
      <c r="F689" s="77"/>
      <c r="G689" s="77"/>
      <c r="H689" s="77"/>
      <c r="I689" s="77"/>
      <c r="J689" s="97"/>
      <c r="K689" s="1"/>
      <c r="L689" s="1"/>
      <c r="M689" s="1"/>
      <c r="N689" s="1"/>
      <c r="O689" s="1"/>
      <c r="P689" s="1"/>
      <c r="Q689" s="1"/>
      <c r="R689" s="1"/>
      <c r="S689" s="1"/>
      <c r="T689" s="1"/>
      <c r="U689" s="1"/>
      <c r="V689" s="1"/>
      <c r="W689" s="1"/>
      <c r="X689" s="1"/>
    </row>
    <row r="690" spans="1:24" ht="14.25" customHeight="1" x14ac:dyDescent="0.2">
      <c r="A690" s="79"/>
      <c r="B690" s="76"/>
      <c r="C690" s="76"/>
      <c r="D690" s="78"/>
      <c r="E690" s="77"/>
      <c r="F690" s="77"/>
      <c r="G690" s="77"/>
      <c r="H690" s="77"/>
      <c r="I690" s="77"/>
      <c r="J690" s="97"/>
      <c r="K690" s="1"/>
      <c r="L690" s="1"/>
      <c r="M690" s="1"/>
      <c r="N690" s="1"/>
      <c r="O690" s="1"/>
      <c r="P690" s="1"/>
      <c r="Q690" s="1"/>
      <c r="R690" s="1"/>
      <c r="S690" s="1"/>
      <c r="T690" s="1"/>
      <c r="U690" s="1"/>
      <c r="V690" s="1"/>
      <c r="W690" s="1"/>
      <c r="X690" s="1"/>
    </row>
    <row r="691" spans="1:24" ht="14.25" customHeight="1" x14ac:dyDescent="0.2">
      <c r="A691" s="79"/>
      <c r="B691" s="76"/>
      <c r="C691" s="76"/>
      <c r="D691" s="78"/>
      <c r="E691" s="77"/>
      <c r="F691" s="77"/>
      <c r="G691" s="77"/>
      <c r="H691" s="77"/>
      <c r="I691" s="77"/>
      <c r="J691" s="97"/>
      <c r="K691" s="1"/>
      <c r="L691" s="1"/>
      <c r="M691" s="1"/>
      <c r="N691" s="1"/>
      <c r="O691" s="1"/>
      <c r="P691" s="1"/>
      <c r="Q691" s="1"/>
      <c r="R691" s="1"/>
      <c r="S691" s="1"/>
      <c r="T691" s="1"/>
      <c r="U691" s="1"/>
      <c r="V691" s="1"/>
      <c r="W691" s="1"/>
      <c r="X691" s="1"/>
    </row>
    <row r="692" spans="1:24" ht="14.25" customHeight="1" x14ac:dyDescent="0.2">
      <c r="A692" s="79"/>
      <c r="B692" s="76"/>
      <c r="C692" s="76"/>
      <c r="D692" s="78"/>
      <c r="E692" s="77"/>
      <c r="F692" s="77"/>
      <c r="G692" s="77"/>
      <c r="H692" s="77"/>
      <c r="I692" s="77"/>
      <c r="J692" s="97"/>
      <c r="K692" s="1"/>
      <c r="L692" s="1"/>
      <c r="M692" s="1"/>
      <c r="N692" s="1"/>
      <c r="O692" s="1"/>
      <c r="P692" s="1"/>
      <c r="Q692" s="1"/>
      <c r="R692" s="1"/>
      <c r="S692" s="1"/>
      <c r="T692" s="1"/>
      <c r="U692" s="1"/>
      <c r="V692" s="1"/>
      <c r="W692" s="1"/>
      <c r="X692" s="1"/>
    </row>
    <row r="693" spans="1:24" ht="14.25" customHeight="1" x14ac:dyDescent="0.2">
      <c r="A693" s="79"/>
      <c r="B693" s="76"/>
      <c r="C693" s="76"/>
      <c r="D693" s="78"/>
      <c r="E693" s="77"/>
      <c r="F693" s="77"/>
      <c r="G693" s="77"/>
      <c r="H693" s="77"/>
      <c r="I693" s="77"/>
      <c r="J693" s="97"/>
      <c r="K693" s="1"/>
      <c r="L693" s="1"/>
      <c r="M693" s="1"/>
      <c r="N693" s="1"/>
      <c r="O693" s="1"/>
      <c r="P693" s="1"/>
      <c r="Q693" s="1"/>
      <c r="R693" s="1"/>
      <c r="S693" s="1"/>
      <c r="T693" s="1"/>
      <c r="U693" s="1"/>
      <c r="V693" s="1"/>
      <c r="W693" s="1"/>
      <c r="X693" s="1"/>
    </row>
    <row r="694" spans="1:24" ht="14.25" customHeight="1" x14ac:dyDescent="0.2">
      <c r="A694" s="79"/>
      <c r="B694" s="76"/>
      <c r="C694" s="76"/>
      <c r="D694" s="78"/>
      <c r="E694" s="77"/>
      <c r="F694" s="77"/>
      <c r="G694" s="77"/>
      <c r="H694" s="77"/>
      <c r="I694" s="77"/>
      <c r="J694" s="97"/>
      <c r="K694" s="1"/>
      <c r="L694" s="1"/>
      <c r="M694" s="1"/>
      <c r="N694" s="1"/>
      <c r="O694" s="1"/>
      <c r="P694" s="1"/>
      <c r="Q694" s="1"/>
      <c r="R694" s="1"/>
      <c r="S694" s="1"/>
      <c r="T694" s="1"/>
      <c r="U694" s="1"/>
      <c r="V694" s="1"/>
      <c r="W694" s="1"/>
      <c r="X694" s="1"/>
    </row>
    <row r="695" spans="1:24" ht="14.25" customHeight="1" x14ac:dyDescent="0.2">
      <c r="A695" s="79"/>
      <c r="B695" s="76"/>
      <c r="C695" s="76"/>
      <c r="D695" s="78"/>
      <c r="E695" s="77"/>
      <c r="F695" s="77"/>
      <c r="G695" s="77"/>
      <c r="H695" s="77"/>
      <c r="I695" s="77"/>
      <c r="J695" s="97"/>
      <c r="K695" s="1"/>
      <c r="L695" s="1"/>
      <c r="M695" s="1"/>
      <c r="N695" s="1"/>
      <c r="O695" s="1"/>
      <c r="P695" s="1"/>
      <c r="Q695" s="1"/>
      <c r="R695" s="1"/>
      <c r="S695" s="1"/>
      <c r="T695" s="1"/>
      <c r="U695" s="1"/>
      <c r="V695" s="1"/>
      <c r="W695" s="1"/>
      <c r="X695" s="1"/>
    </row>
    <row r="696" spans="1:24" ht="14.25" customHeight="1" x14ac:dyDescent="0.2">
      <c r="A696" s="79"/>
      <c r="B696" s="76"/>
      <c r="C696" s="76"/>
      <c r="D696" s="78"/>
      <c r="E696" s="77"/>
      <c r="F696" s="77"/>
      <c r="G696" s="77"/>
      <c r="H696" s="77"/>
      <c r="I696" s="77"/>
      <c r="J696" s="97"/>
      <c r="K696" s="1"/>
      <c r="L696" s="1"/>
      <c r="M696" s="1"/>
      <c r="N696" s="1"/>
      <c r="O696" s="1"/>
      <c r="P696" s="1"/>
      <c r="Q696" s="1"/>
      <c r="R696" s="1"/>
      <c r="S696" s="1"/>
      <c r="T696" s="1"/>
      <c r="U696" s="1"/>
      <c r="V696" s="1"/>
      <c r="W696" s="1"/>
      <c r="X696" s="1"/>
    </row>
    <row r="697" spans="1:24" ht="14.25" customHeight="1" x14ac:dyDescent="0.2">
      <c r="A697" s="79"/>
      <c r="B697" s="76"/>
      <c r="C697" s="76"/>
      <c r="D697" s="78"/>
      <c r="E697" s="77"/>
      <c r="F697" s="77"/>
      <c r="G697" s="77"/>
      <c r="H697" s="77"/>
      <c r="I697" s="77"/>
      <c r="J697" s="97"/>
      <c r="K697" s="1"/>
      <c r="L697" s="1"/>
      <c r="M697" s="1"/>
      <c r="N697" s="1"/>
      <c r="O697" s="1"/>
      <c r="P697" s="1"/>
      <c r="Q697" s="1"/>
      <c r="R697" s="1"/>
      <c r="S697" s="1"/>
      <c r="T697" s="1"/>
      <c r="U697" s="1"/>
      <c r="V697" s="1"/>
      <c r="W697" s="1"/>
      <c r="X697" s="1"/>
    </row>
    <row r="698" spans="1:24" ht="14.25" customHeight="1" x14ac:dyDescent="0.2">
      <c r="A698" s="79"/>
      <c r="B698" s="76"/>
      <c r="C698" s="76"/>
      <c r="D698" s="78"/>
      <c r="E698" s="77"/>
      <c r="F698" s="77"/>
      <c r="G698" s="77"/>
      <c r="H698" s="77"/>
      <c r="I698" s="77"/>
      <c r="J698" s="97"/>
      <c r="K698" s="1"/>
      <c r="L698" s="1"/>
      <c r="M698" s="1"/>
      <c r="N698" s="1"/>
      <c r="O698" s="1"/>
      <c r="P698" s="1"/>
      <c r="Q698" s="1"/>
      <c r="R698" s="1"/>
      <c r="S698" s="1"/>
      <c r="T698" s="1"/>
      <c r="U698" s="1"/>
      <c r="V698" s="1"/>
      <c r="W698" s="1"/>
      <c r="X698" s="1"/>
    </row>
    <row r="699" spans="1:24" ht="14.25" customHeight="1" x14ac:dyDescent="0.2">
      <c r="A699" s="79"/>
      <c r="B699" s="76"/>
      <c r="C699" s="76"/>
      <c r="D699" s="78"/>
      <c r="E699" s="77"/>
      <c r="F699" s="77"/>
      <c r="G699" s="77"/>
      <c r="H699" s="77"/>
      <c r="I699" s="77"/>
      <c r="J699" s="97"/>
      <c r="K699" s="1"/>
      <c r="L699" s="1"/>
      <c r="M699" s="1"/>
      <c r="N699" s="1"/>
      <c r="O699" s="1"/>
      <c r="P699" s="1"/>
      <c r="Q699" s="1"/>
      <c r="R699" s="1"/>
      <c r="S699" s="1"/>
      <c r="T699" s="1"/>
      <c r="U699" s="1"/>
      <c r="V699" s="1"/>
      <c r="W699" s="1"/>
      <c r="X699" s="1"/>
    </row>
    <row r="700" spans="1:24" ht="14.25" customHeight="1" x14ac:dyDescent="0.2">
      <c r="A700" s="79"/>
      <c r="B700" s="76"/>
      <c r="C700" s="76"/>
      <c r="D700" s="78"/>
      <c r="E700" s="77"/>
      <c r="F700" s="77"/>
      <c r="G700" s="77"/>
      <c r="H700" s="77"/>
      <c r="I700" s="77"/>
      <c r="J700" s="97"/>
      <c r="K700" s="1"/>
      <c r="L700" s="1"/>
      <c r="M700" s="1"/>
      <c r="N700" s="1"/>
      <c r="O700" s="1"/>
      <c r="P700" s="1"/>
      <c r="Q700" s="1"/>
      <c r="R700" s="1"/>
      <c r="S700" s="1"/>
      <c r="T700" s="1"/>
      <c r="U700" s="1"/>
      <c r="V700" s="1"/>
      <c r="W700" s="1"/>
      <c r="X700" s="1"/>
    </row>
    <row r="701" spans="1:24" ht="14.25" customHeight="1" x14ac:dyDescent="0.2">
      <c r="A701" s="79"/>
      <c r="B701" s="76"/>
      <c r="C701" s="76"/>
      <c r="D701" s="78"/>
      <c r="E701" s="77"/>
      <c r="F701" s="77"/>
      <c r="G701" s="77"/>
      <c r="H701" s="77"/>
      <c r="I701" s="77"/>
      <c r="J701" s="97"/>
      <c r="K701" s="1"/>
      <c r="L701" s="1"/>
      <c r="M701" s="1"/>
      <c r="N701" s="1"/>
      <c r="O701" s="1"/>
      <c r="P701" s="1"/>
      <c r="Q701" s="1"/>
      <c r="R701" s="1"/>
      <c r="S701" s="1"/>
      <c r="T701" s="1"/>
      <c r="U701" s="1"/>
      <c r="V701" s="1"/>
      <c r="W701" s="1"/>
      <c r="X701" s="1"/>
    </row>
    <row r="702" spans="1:24" ht="14.25" customHeight="1" x14ac:dyDescent="0.2">
      <c r="A702" s="79"/>
      <c r="B702" s="76"/>
      <c r="C702" s="76"/>
      <c r="D702" s="78"/>
      <c r="E702" s="77"/>
      <c r="F702" s="77"/>
      <c r="G702" s="77"/>
      <c r="H702" s="77"/>
      <c r="I702" s="77"/>
      <c r="J702" s="97"/>
      <c r="K702" s="1"/>
      <c r="L702" s="1"/>
      <c r="M702" s="1"/>
      <c r="N702" s="1"/>
      <c r="O702" s="1"/>
      <c r="P702" s="1"/>
      <c r="Q702" s="1"/>
      <c r="R702" s="1"/>
      <c r="S702" s="1"/>
      <c r="T702" s="1"/>
      <c r="U702" s="1"/>
      <c r="V702" s="1"/>
      <c r="W702" s="1"/>
      <c r="X702" s="1"/>
    </row>
    <row r="703" spans="1:24" ht="14.25" customHeight="1" x14ac:dyDescent="0.2">
      <c r="A703" s="79"/>
      <c r="B703" s="76"/>
      <c r="C703" s="76"/>
      <c r="D703" s="78"/>
      <c r="E703" s="77"/>
      <c r="F703" s="77"/>
      <c r="G703" s="77"/>
      <c r="H703" s="77"/>
      <c r="I703" s="77"/>
      <c r="J703" s="97"/>
      <c r="K703" s="1"/>
      <c r="L703" s="1"/>
      <c r="M703" s="1"/>
      <c r="N703" s="1"/>
      <c r="O703" s="1"/>
      <c r="P703" s="1"/>
      <c r="Q703" s="1"/>
      <c r="R703" s="1"/>
      <c r="S703" s="1"/>
      <c r="T703" s="1"/>
      <c r="U703" s="1"/>
      <c r="V703" s="1"/>
      <c r="W703" s="1"/>
      <c r="X703" s="1"/>
    </row>
    <row r="704" spans="1:24" ht="14.25" customHeight="1" x14ac:dyDescent="0.2">
      <c r="A704" s="79"/>
      <c r="B704" s="76"/>
      <c r="C704" s="76"/>
      <c r="D704" s="78"/>
      <c r="E704" s="77"/>
      <c r="F704" s="77"/>
      <c r="G704" s="77"/>
      <c r="H704" s="77"/>
      <c r="I704" s="77"/>
      <c r="J704" s="97"/>
      <c r="K704" s="1"/>
      <c r="L704" s="1"/>
      <c r="M704" s="1"/>
      <c r="N704" s="1"/>
      <c r="O704" s="1"/>
      <c r="P704" s="1"/>
      <c r="Q704" s="1"/>
      <c r="R704" s="1"/>
      <c r="S704" s="1"/>
      <c r="T704" s="1"/>
      <c r="U704" s="1"/>
      <c r="V704" s="1"/>
      <c r="W704" s="1"/>
      <c r="X704" s="1"/>
    </row>
    <row r="705" spans="1:24" ht="14.25" customHeight="1" x14ac:dyDescent="0.2">
      <c r="A705" s="79"/>
      <c r="B705" s="76"/>
      <c r="C705" s="76"/>
      <c r="D705" s="78"/>
      <c r="E705" s="77"/>
      <c r="F705" s="77"/>
      <c r="G705" s="77"/>
      <c r="H705" s="77"/>
      <c r="I705" s="77"/>
      <c r="J705" s="97"/>
      <c r="K705" s="1"/>
      <c r="L705" s="1"/>
      <c r="M705" s="1"/>
      <c r="N705" s="1"/>
      <c r="O705" s="1"/>
      <c r="P705" s="1"/>
      <c r="Q705" s="1"/>
      <c r="R705" s="1"/>
      <c r="S705" s="1"/>
      <c r="T705" s="1"/>
      <c r="U705" s="1"/>
      <c r="V705" s="1"/>
      <c r="W705" s="1"/>
      <c r="X705" s="1"/>
    </row>
    <row r="706" spans="1:24" ht="14.25" customHeight="1" x14ac:dyDescent="0.2">
      <c r="A706" s="79"/>
      <c r="B706" s="76"/>
      <c r="C706" s="76"/>
      <c r="D706" s="78"/>
      <c r="E706" s="77"/>
      <c r="F706" s="77"/>
      <c r="G706" s="77"/>
      <c r="H706" s="77"/>
      <c r="I706" s="77"/>
      <c r="J706" s="97"/>
      <c r="K706" s="1"/>
      <c r="L706" s="1"/>
      <c r="M706" s="1"/>
      <c r="N706" s="1"/>
      <c r="O706" s="1"/>
      <c r="P706" s="1"/>
      <c r="Q706" s="1"/>
      <c r="R706" s="1"/>
      <c r="S706" s="1"/>
      <c r="T706" s="1"/>
      <c r="U706" s="1"/>
      <c r="V706" s="1"/>
      <c r="W706" s="1"/>
      <c r="X706" s="1"/>
    </row>
    <row r="707" spans="1:24" ht="14.25" customHeight="1" x14ac:dyDescent="0.2">
      <c r="A707" s="79"/>
      <c r="B707" s="76"/>
      <c r="C707" s="76"/>
      <c r="D707" s="78"/>
      <c r="E707" s="77"/>
      <c r="F707" s="77"/>
      <c r="G707" s="77"/>
      <c r="H707" s="77"/>
      <c r="I707" s="77"/>
      <c r="J707" s="97"/>
      <c r="K707" s="1"/>
      <c r="L707" s="1"/>
      <c r="M707" s="1"/>
      <c r="N707" s="1"/>
      <c r="O707" s="1"/>
      <c r="P707" s="1"/>
      <c r="Q707" s="1"/>
      <c r="R707" s="1"/>
      <c r="S707" s="1"/>
      <c r="T707" s="1"/>
      <c r="U707" s="1"/>
      <c r="V707" s="1"/>
      <c r="W707" s="1"/>
      <c r="X707" s="1"/>
    </row>
    <row r="708" spans="1:24" ht="14.25" customHeight="1" x14ac:dyDescent="0.2">
      <c r="A708" s="79"/>
      <c r="B708" s="76"/>
      <c r="C708" s="76"/>
      <c r="D708" s="78"/>
      <c r="E708" s="77"/>
      <c r="F708" s="77"/>
      <c r="G708" s="77"/>
      <c r="H708" s="77"/>
      <c r="I708" s="77"/>
      <c r="J708" s="97"/>
      <c r="K708" s="1"/>
      <c r="L708" s="1"/>
      <c r="M708" s="1"/>
      <c r="N708" s="1"/>
      <c r="O708" s="1"/>
      <c r="P708" s="1"/>
      <c r="Q708" s="1"/>
      <c r="R708" s="1"/>
      <c r="S708" s="1"/>
      <c r="T708" s="1"/>
      <c r="U708" s="1"/>
      <c r="V708" s="1"/>
      <c r="W708" s="1"/>
      <c r="X708" s="1"/>
    </row>
    <row r="709" spans="1:24" ht="14.25" customHeight="1" x14ac:dyDescent="0.2">
      <c r="A709" s="79"/>
      <c r="B709" s="76"/>
      <c r="C709" s="76"/>
      <c r="D709" s="78"/>
      <c r="E709" s="77"/>
      <c r="F709" s="77"/>
      <c r="G709" s="77"/>
      <c r="H709" s="77"/>
      <c r="I709" s="77"/>
      <c r="J709" s="97"/>
      <c r="K709" s="1"/>
      <c r="L709" s="1"/>
      <c r="M709" s="1"/>
      <c r="N709" s="1"/>
      <c r="O709" s="1"/>
      <c r="P709" s="1"/>
      <c r="Q709" s="1"/>
      <c r="R709" s="1"/>
      <c r="S709" s="1"/>
      <c r="T709" s="1"/>
      <c r="U709" s="1"/>
      <c r="V709" s="1"/>
      <c r="W709" s="1"/>
      <c r="X709" s="1"/>
    </row>
    <row r="710" spans="1:24" ht="14.25" customHeight="1" x14ac:dyDescent="0.2">
      <c r="A710" s="79"/>
      <c r="B710" s="76"/>
      <c r="C710" s="76"/>
      <c r="D710" s="78"/>
      <c r="E710" s="77"/>
      <c r="F710" s="77"/>
      <c r="G710" s="77"/>
      <c r="H710" s="77"/>
      <c r="I710" s="77"/>
      <c r="J710" s="97"/>
      <c r="K710" s="1"/>
      <c r="L710" s="1"/>
      <c r="M710" s="1"/>
      <c r="N710" s="1"/>
      <c r="O710" s="1"/>
      <c r="P710" s="1"/>
      <c r="Q710" s="1"/>
      <c r="R710" s="1"/>
      <c r="S710" s="1"/>
      <c r="T710" s="1"/>
      <c r="U710" s="1"/>
      <c r="V710" s="1"/>
      <c r="W710" s="1"/>
      <c r="X710" s="1"/>
    </row>
    <row r="711" spans="1:24" ht="14.25" customHeight="1" x14ac:dyDescent="0.2">
      <c r="A711" s="79"/>
      <c r="B711" s="76"/>
      <c r="C711" s="76"/>
      <c r="D711" s="78"/>
      <c r="E711" s="77"/>
      <c r="F711" s="77"/>
      <c r="G711" s="77"/>
      <c r="H711" s="77"/>
      <c r="I711" s="77"/>
      <c r="J711" s="97"/>
      <c r="K711" s="1"/>
      <c r="L711" s="1"/>
      <c r="M711" s="1"/>
      <c r="N711" s="1"/>
      <c r="O711" s="1"/>
      <c r="P711" s="1"/>
      <c r="Q711" s="1"/>
      <c r="R711" s="1"/>
      <c r="S711" s="1"/>
      <c r="T711" s="1"/>
      <c r="U711" s="1"/>
      <c r="V711" s="1"/>
      <c r="W711" s="1"/>
      <c r="X711" s="1"/>
    </row>
    <row r="712" spans="1:24" ht="14.25" customHeight="1" x14ac:dyDescent="0.2">
      <c r="A712" s="79"/>
      <c r="B712" s="76"/>
      <c r="C712" s="76"/>
      <c r="D712" s="78"/>
      <c r="E712" s="77"/>
      <c r="F712" s="77"/>
      <c r="G712" s="77"/>
      <c r="H712" s="77"/>
      <c r="I712" s="77"/>
      <c r="J712" s="97"/>
      <c r="K712" s="1"/>
      <c r="L712" s="1"/>
      <c r="M712" s="1"/>
      <c r="N712" s="1"/>
      <c r="O712" s="1"/>
      <c r="P712" s="1"/>
      <c r="Q712" s="1"/>
      <c r="R712" s="1"/>
      <c r="S712" s="1"/>
      <c r="T712" s="1"/>
      <c r="U712" s="1"/>
      <c r="V712" s="1"/>
      <c r="W712" s="1"/>
      <c r="X712" s="1"/>
    </row>
    <row r="713" spans="1:24" ht="14.25" customHeight="1" x14ac:dyDescent="0.2">
      <c r="A713" s="79"/>
      <c r="B713" s="76"/>
      <c r="C713" s="76"/>
      <c r="D713" s="78"/>
      <c r="E713" s="77"/>
      <c r="F713" s="77"/>
      <c r="G713" s="77"/>
      <c r="H713" s="77"/>
      <c r="I713" s="77"/>
      <c r="J713" s="97"/>
      <c r="K713" s="1"/>
      <c r="L713" s="1"/>
      <c r="M713" s="1"/>
      <c r="N713" s="1"/>
      <c r="O713" s="1"/>
      <c r="P713" s="1"/>
      <c r="Q713" s="1"/>
      <c r="R713" s="1"/>
      <c r="S713" s="1"/>
      <c r="T713" s="1"/>
      <c r="U713" s="1"/>
      <c r="V713" s="1"/>
      <c r="W713" s="1"/>
      <c r="X713" s="1"/>
    </row>
    <row r="714" spans="1:24" ht="14.25" customHeight="1" x14ac:dyDescent="0.2">
      <c r="A714" s="79"/>
      <c r="B714" s="76"/>
      <c r="C714" s="76"/>
      <c r="D714" s="78"/>
      <c r="E714" s="77"/>
      <c r="F714" s="77"/>
      <c r="G714" s="77"/>
      <c r="H714" s="77"/>
      <c r="I714" s="77"/>
      <c r="J714" s="97"/>
      <c r="K714" s="1"/>
      <c r="L714" s="1"/>
      <c r="M714" s="1"/>
      <c r="N714" s="1"/>
      <c r="O714" s="1"/>
      <c r="P714" s="1"/>
      <c r="Q714" s="1"/>
      <c r="R714" s="1"/>
      <c r="S714" s="1"/>
      <c r="T714" s="1"/>
      <c r="U714" s="1"/>
      <c r="V714" s="1"/>
      <c r="W714" s="1"/>
      <c r="X714" s="1"/>
    </row>
    <row r="715" spans="1:24" ht="14.25" customHeight="1" x14ac:dyDescent="0.2">
      <c r="A715" s="79"/>
      <c r="B715" s="76"/>
      <c r="C715" s="76"/>
      <c r="D715" s="78"/>
      <c r="E715" s="77"/>
      <c r="F715" s="77"/>
      <c r="G715" s="77"/>
      <c r="H715" s="77"/>
      <c r="I715" s="77"/>
      <c r="J715" s="97"/>
      <c r="K715" s="1"/>
      <c r="L715" s="1"/>
      <c r="M715" s="1"/>
      <c r="N715" s="1"/>
      <c r="O715" s="1"/>
      <c r="P715" s="1"/>
      <c r="Q715" s="1"/>
      <c r="R715" s="1"/>
      <c r="S715" s="1"/>
      <c r="T715" s="1"/>
      <c r="U715" s="1"/>
      <c r="V715" s="1"/>
      <c r="W715" s="1"/>
      <c r="X715" s="1"/>
    </row>
    <row r="716" spans="1:24" ht="14.25" customHeight="1" x14ac:dyDescent="0.2">
      <c r="A716" s="79"/>
      <c r="B716" s="76"/>
      <c r="C716" s="76"/>
      <c r="D716" s="78"/>
      <c r="E716" s="77"/>
      <c r="F716" s="77"/>
      <c r="G716" s="77"/>
      <c r="H716" s="77"/>
      <c r="I716" s="77"/>
      <c r="J716" s="97"/>
      <c r="K716" s="1"/>
      <c r="L716" s="1"/>
      <c r="M716" s="1"/>
      <c r="N716" s="1"/>
      <c r="O716" s="1"/>
      <c r="P716" s="1"/>
      <c r="Q716" s="1"/>
      <c r="R716" s="1"/>
      <c r="S716" s="1"/>
      <c r="T716" s="1"/>
      <c r="U716" s="1"/>
      <c r="V716" s="1"/>
      <c r="W716" s="1"/>
      <c r="X716" s="1"/>
    </row>
    <row r="717" spans="1:24" ht="14.25" customHeight="1" x14ac:dyDescent="0.2">
      <c r="A717" s="79"/>
      <c r="B717" s="76"/>
      <c r="C717" s="76"/>
      <c r="D717" s="78"/>
      <c r="E717" s="77"/>
      <c r="F717" s="77"/>
      <c r="G717" s="77"/>
      <c r="H717" s="77"/>
      <c r="I717" s="77"/>
      <c r="J717" s="97"/>
      <c r="K717" s="1"/>
      <c r="L717" s="1"/>
      <c r="M717" s="1"/>
      <c r="N717" s="1"/>
      <c r="O717" s="1"/>
      <c r="P717" s="1"/>
      <c r="Q717" s="1"/>
      <c r="R717" s="1"/>
      <c r="S717" s="1"/>
      <c r="T717" s="1"/>
      <c r="U717" s="1"/>
      <c r="V717" s="1"/>
      <c r="W717" s="1"/>
      <c r="X717" s="1"/>
    </row>
    <row r="718" spans="1:24" ht="14.25" customHeight="1" x14ac:dyDescent="0.2">
      <c r="A718" s="79"/>
      <c r="B718" s="76"/>
      <c r="C718" s="76"/>
      <c r="D718" s="78"/>
      <c r="E718" s="77"/>
      <c r="F718" s="77"/>
      <c r="G718" s="77"/>
      <c r="H718" s="77"/>
      <c r="I718" s="77"/>
      <c r="J718" s="97"/>
      <c r="K718" s="1"/>
      <c r="L718" s="1"/>
      <c r="M718" s="1"/>
      <c r="N718" s="1"/>
      <c r="O718" s="1"/>
      <c r="P718" s="1"/>
      <c r="Q718" s="1"/>
      <c r="R718" s="1"/>
      <c r="S718" s="1"/>
      <c r="T718" s="1"/>
      <c r="U718" s="1"/>
      <c r="V718" s="1"/>
      <c r="W718" s="1"/>
      <c r="X718" s="1"/>
    </row>
    <row r="719" spans="1:24" ht="14.25" customHeight="1" x14ac:dyDescent="0.2">
      <c r="A719" s="79"/>
      <c r="B719" s="76"/>
      <c r="C719" s="76"/>
      <c r="D719" s="78"/>
      <c r="E719" s="77"/>
      <c r="F719" s="77"/>
      <c r="G719" s="77"/>
      <c r="H719" s="77"/>
      <c r="I719" s="77"/>
      <c r="J719" s="97"/>
      <c r="K719" s="1"/>
      <c r="L719" s="1"/>
      <c r="M719" s="1"/>
      <c r="N719" s="1"/>
      <c r="O719" s="1"/>
      <c r="P719" s="1"/>
      <c r="Q719" s="1"/>
      <c r="R719" s="1"/>
      <c r="S719" s="1"/>
      <c r="T719" s="1"/>
      <c r="U719" s="1"/>
      <c r="V719" s="1"/>
      <c r="W719" s="1"/>
      <c r="X719" s="1"/>
    </row>
    <row r="720" spans="1:24" ht="14.25" customHeight="1" x14ac:dyDescent="0.2">
      <c r="A720" s="79"/>
      <c r="B720" s="76"/>
      <c r="C720" s="76"/>
      <c r="D720" s="78"/>
      <c r="E720" s="77"/>
      <c r="F720" s="77"/>
      <c r="G720" s="77"/>
      <c r="H720" s="77"/>
      <c r="I720" s="77"/>
      <c r="J720" s="97"/>
      <c r="K720" s="1"/>
      <c r="L720" s="1"/>
      <c r="M720" s="1"/>
      <c r="N720" s="1"/>
      <c r="O720" s="1"/>
      <c r="P720" s="1"/>
      <c r="Q720" s="1"/>
      <c r="R720" s="1"/>
      <c r="S720" s="1"/>
      <c r="T720" s="1"/>
      <c r="U720" s="1"/>
      <c r="V720" s="1"/>
      <c r="W720" s="1"/>
      <c r="X720" s="1"/>
    </row>
    <row r="721" spans="1:24" ht="14.25" customHeight="1" x14ac:dyDescent="0.2">
      <c r="A721" s="79"/>
      <c r="B721" s="76"/>
      <c r="C721" s="76"/>
      <c r="D721" s="78"/>
      <c r="E721" s="77"/>
      <c r="F721" s="77"/>
      <c r="G721" s="77"/>
      <c r="H721" s="77"/>
      <c r="I721" s="77"/>
      <c r="J721" s="97"/>
      <c r="K721" s="1"/>
      <c r="L721" s="1"/>
      <c r="M721" s="1"/>
      <c r="N721" s="1"/>
      <c r="O721" s="1"/>
      <c r="P721" s="1"/>
      <c r="Q721" s="1"/>
      <c r="R721" s="1"/>
      <c r="S721" s="1"/>
      <c r="T721" s="1"/>
      <c r="U721" s="1"/>
      <c r="V721" s="1"/>
      <c r="W721" s="1"/>
      <c r="X721" s="1"/>
    </row>
    <row r="722" spans="1:24" ht="14.25" customHeight="1" x14ac:dyDescent="0.2">
      <c r="A722" s="79"/>
      <c r="B722" s="76"/>
      <c r="C722" s="76"/>
      <c r="D722" s="78"/>
      <c r="E722" s="77"/>
      <c r="F722" s="77"/>
      <c r="G722" s="77"/>
      <c r="H722" s="77"/>
      <c r="I722" s="77"/>
      <c r="J722" s="97"/>
      <c r="K722" s="1"/>
      <c r="L722" s="1"/>
      <c r="M722" s="1"/>
      <c r="N722" s="1"/>
      <c r="O722" s="1"/>
      <c r="P722" s="1"/>
      <c r="Q722" s="1"/>
      <c r="R722" s="1"/>
      <c r="S722" s="1"/>
      <c r="T722" s="1"/>
      <c r="U722" s="1"/>
      <c r="V722" s="1"/>
      <c r="W722" s="1"/>
      <c r="X722" s="1"/>
    </row>
    <row r="723" spans="1:24" ht="14.25" customHeight="1" x14ac:dyDescent="0.2">
      <c r="A723" s="79"/>
      <c r="B723" s="76"/>
      <c r="C723" s="76"/>
      <c r="D723" s="78"/>
      <c r="E723" s="77"/>
      <c r="F723" s="77"/>
      <c r="G723" s="77"/>
      <c r="H723" s="77"/>
      <c r="I723" s="77"/>
      <c r="J723" s="97"/>
      <c r="K723" s="1"/>
      <c r="L723" s="1"/>
      <c r="M723" s="1"/>
      <c r="N723" s="1"/>
      <c r="O723" s="1"/>
      <c r="P723" s="1"/>
      <c r="Q723" s="1"/>
      <c r="R723" s="1"/>
      <c r="S723" s="1"/>
      <c r="T723" s="1"/>
      <c r="U723" s="1"/>
      <c r="V723" s="1"/>
      <c r="W723" s="1"/>
      <c r="X723" s="1"/>
    </row>
    <row r="724" spans="1:24" ht="14.25" customHeight="1" x14ac:dyDescent="0.2">
      <c r="A724" s="79"/>
      <c r="B724" s="76"/>
      <c r="C724" s="76"/>
      <c r="D724" s="78"/>
      <c r="E724" s="77"/>
      <c r="F724" s="77"/>
      <c r="G724" s="77"/>
      <c r="H724" s="77"/>
      <c r="I724" s="77"/>
      <c r="J724" s="97"/>
      <c r="K724" s="1"/>
      <c r="L724" s="1"/>
      <c r="M724" s="1"/>
      <c r="N724" s="1"/>
      <c r="O724" s="1"/>
      <c r="P724" s="1"/>
      <c r="Q724" s="1"/>
      <c r="R724" s="1"/>
      <c r="S724" s="1"/>
      <c r="T724" s="1"/>
      <c r="U724" s="1"/>
      <c r="V724" s="1"/>
      <c r="W724" s="1"/>
      <c r="X724" s="1"/>
    </row>
    <row r="725" spans="1:24" ht="14.25" customHeight="1" x14ac:dyDescent="0.2">
      <c r="A725" s="79"/>
      <c r="B725" s="76"/>
      <c r="C725" s="76"/>
      <c r="D725" s="78"/>
      <c r="E725" s="77"/>
      <c r="F725" s="77"/>
      <c r="G725" s="77"/>
      <c r="H725" s="77"/>
      <c r="I725" s="77"/>
      <c r="J725" s="97"/>
      <c r="K725" s="1"/>
      <c r="L725" s="1"/>
      <c r="M725" s="1"/>
      <c r="N725" s="1"/>
      <c r="O725" s="1"/>
      <c r="P725" s="1"/>
      <c r="Q725" s="1"/>
      <c r="R725" s="1"/>
      <c r="S725" s="1"/>
      <c r="T725" s="1"/>
      <c r="U725" s="1"/>
      <c r="V725" s="1"/>
      <c r="W725" s="1"/>
      <c r="X725" s="1"/>
    </row>
    <row r="726" spans="1:24" ht="14.25" customHeight="1" x14ac:dyDescent="0.2">
      <c r="A726" s="79"/>
      <c r="B726" s="76"/>
      <c r="C726" s="76"/>
      <c r="D726" s="78"/>
      <c r="E726" s="77"/>
      <c r="F726" s="77"/>
      <c r="G726" s="77"/>
      <c r="H726" s="77"/>
      <c r="I726" s="77"/>
      <c r="J726" s="97"/>
      <c r="K726" s="1"/>
      <c r="L726" s="1"/>
      <c r="M726" s="1"/>
      <c r="N726" s="1"/>
      <c r="O726" s="1"/>
      <c r="P726" s="1"/>
      <c r="Q726" s="1"/>
      <c r="R726" s="1"/>
      <c r="S726" s="1"/>
      <c r="T726" s="1"/>
      <c r="U726" s="1"/>
      <c r="V726" s="1"/>
      <c r="W726" s="1"/>
      <c r="X726" s="1"/>
    </row>
    <row r="727" spans="1:24" ht="14.25" customHeight="1" x14ac:dyDescent="0.2">
      <c r="A727" s="79"/>
      <c r="B727" s="76"/>
      <c r="C727" s="76"/>
      <c r="D727" s="78"/>
      <c r="E727" s="77"/>
      <c r="F727" s="77"/>
      <c r="G727" s="77"/>
      <c r="H727" s="77"/>
      <c r="I727" s="77"/>
      <c r="J727" s="97"/>
      <c r="K727" s="1"/>
      <c r="L727" s="1"/>
      <c r="M727" s="1"/>
      <c r="N727" s="1"/>
      <c r="O727" s="1"/>
      <c r="P727" s="1"/>
      <c r="Q727" s="1"/>
      <c r="R727" s="1"/>
      <c r="S727" s="1"/>
      <c r="T727" s="1"/>
      <c r="U727" s="1"/>
      <c r="V727" s="1"/>
      <c r="W727" s="1"/>
      <c r="X727" s="1"/>
    </row>
    <row r="728" spans="1:24" ht="14.25" customHeight="1" x14ac:dyDescent="0.2">
      <c r="A728" s="79"/>
      <c r="B728" s="76"/>
      <c r="C728" s="76"/>
      <c r="D728" s="78"/>
      <c r="E728" s="77"/>
      <c r="F728" s="77"/>
      <c r="G728" s="77"/>
      <c r="H728" s="77"/>
      <c r="I728" s="77"/>
      <c r="J728" s="97"/>
      <c r="K728" s="1"/>
      <c r="L728" s="1"/>
      <c r="M728" s="1"/>
      <c r="N728" s="1"/>
      <c r="O728" s="1"/>
      <c r="P728" s="1"/>
      <c r="Q728" s="1"/>
      <c r="R728" s="1"/>
      <c r="S728" s="1"/>
      <c r="T728" s="1"/>
      <c r="U728" s="1"/>
      <c r="V728" s="1"/>
      <c r="W728" s="1"/>
      <c r="X728" s="1"/>
    </row>
    <row r="729" spans="1:24" ht="14.25" customHeight="1" x14ac:dyDescent="0.2">
      <c r="A729" s="79"/>
      <c r="B729" s="76"/>
      <c r="C729" s="76"/>
      <c r="D729" s="78"/>
      <c r="E729" s="77"/>
      <c r="F729" s="77"/>
      <c r="G729" s="77"/>
      <c r="H729" s="77"/>
      <c r="I729" s="77"/>
      <c r="J729" s="97"/>
      <c r="K729" s="1"/>
      <c r="L729" s="1"/>
      <c r="M729" s="1"/>
      <c r="N729" s="1"/>
      <c r="O729" s="1"/>
      <c r="P729" s="1"/>
      <c r="Q729" s="1"/>
      <c r="R729" s="1"/>
      <c r="S729" s="1"/>
      <c r="T729" s="1"/>
      <c r="U729" s="1"/>
      <c r="V729" s="1"/>
      <c r="W729" s="1"/>
      <c r="X729" s="1"/>
    </row>
    <row r="730" spans="1:24" ht="14.25" customHeight="1" x14ac:dyDescent="0.2">
      <c r="A730" s="79"/>
      <c r="B730" s="76"/>
      <c r="C730" s="76"/>
      <c r="D730" s="78"/>
      <c r="E730" s="77"/>
      <c r="F730" s="77"/>
      <c r="G730" s="77"/>
      <c r="H730" s="77"/>
      <c r="I730" s="77"/>
      <c r="J730" s="97"/>
      <c r="K730" s="1"/>
      <c r="L730" s="1"/>
      <c r="M730" s="1"/>
      <c r="N730" s="1"/>
      <c r="O730" s="1"/>
      <c r="P730" s="1"/>
      <c r="Q730" s="1"/>
      <c r="R730" s="1"/>
      <c r="S730" s="1"/>
      <c r="T730" s="1"/>
      <c r="U730" s="1"/>
      <c r="V730" s="1"/>
      <c r="W730" s="1"/>
      <c r="X730" s="1"/>
    </row>
    <row r="731" spans="1:24" ht="14.25" customHeight="1" x14ac:dyDescent="0.2">
      <c r="A731" s="79"/>
      <c r="B731" s="76"/>
      <c r="C731" s="76"/>
      <c r="D731" s="78"/>
      <c r="E731" s="77"/>
      <c r="F731" s="77"/>
      <c r="G731" s="77"/>
      <c r="H731" s="77"/>
      <c r="I731" s="77"/>
      <c r="J731" s="97"/>
      <c r="K731" s="1"/>
      <c r="L731" s="1"/>
      <c r="M731" s="1"/>
      <c r="N731" s="1"/>
      <c r="O731" s="1"/>
      <c r="P731" s="1"/>
      <c r="Q731" s="1"/>
      <c r="R731" s="1"/>
      <c r="S731" s="1"/>
      <c r="T731" s="1"/>
      <c r="U731" s="1"/>
      <c r="V731" s="1"/>
      <c r="W731" s="1"/>
      <c r="X731" s="1"/>
    </row>
    <row r="732" spans="1:24" ht="14.25" customHeight="1" x14ac:dyDescent="0.2">
      <c r="A732" s="79"/>
      <c r="B732" s="76"/>
      <c r="C732" s="76"/>
      <c r="D732" s="78"/>
      <c r="E732" s="77"/>
      <c r="F732" s="77"/>
      <c r="G732" s="77"/>
      <c r="H732" s="77"/>
      <c r="I732" s="77"/>
      <c r="J732" s="97"/>
      <c r="K732" s="1"/>
      <c r="L732" s="1"/>
      <c r="M732" s="1"/>
      <c r="N732" s="1"/>
      <c r="O732" s="1"/>
      <c r="P732" s="1"/>
      <c r="Q732" s="1"/>
      <c r="R732" s="1"/>
      <c r="S732" s="1"/>
      <c r="T732" s="1"/>
      <c r="U732" s="1"/>
      <c r="V732" s="1"/>
      <c r="W732" s="1"/>
      <c r="X732" s="1"/>
    </row>
    <row r="733" spans="1:24" ht="14.25" customHeight="1" x14ac:dyDescent="0.2">
      <c r="A733" s="79"/>
      <c r="B733" s="76"/>
      <c r="C733" s="76"/>
      <c r="D733" s="78"/>
      <c r="E733" s="77"/>
      <c r="F733" s="77"/>
      <c r="G733" s="77"/>
      <c r="H733" s="77"/>
      <c r="I733" s="77"/>
      <c r="J733" s="97"/>
      <c r="K733" s="1"/>
      <c r="L733" s="1"/>
      <c r="M733" s="1"/>
      <c r="N733" s="1"/>
      <c r="O733" s="1"/>
      <c r="P733" s="1"/>
      <c r="Q733" s="1"/>
      <c r="R733" s="1"/>
      <c r="S733" s="1"/>
      <c r="T733" s="1"/>
      <c r="U733" s="1"/>
      <c r="V733" s="1"/>
      <c r="W733" s="1"/>
      <c r="X733" s="1"/>
    </row>
    <row r="734" spans="1:24" ht="14.25" customHeight="1" x14ac:dyDescent="0.2">
      <c r="A734" s="79"/>
      <c r="B734" s="76"/>
      <c r="C734" s="76"/>
      <c r="D734" s="78"/>
      <c r="E734" s="77"/>
      <c r="F734" s="77"/>
      <c r="G734" s="77"/>
      <c r="H734" s="77"/>
      <c r="I734" s="77"/>
      <c r="J734" s="97"/>
      <c r="K734" s="1"/>
      <c r="L734" s="1"/>
      <c r="M734" s="1"/>
      <c r="N734" s="1"/>
      <c r="O734" s="1"/>
      <c r="P734" s="1"/>
      <c r="Q734" s="1"/>
      <c r="R734" s="1"/>
      <c r="S734" s="1"/>
      <c r="T734" s="1"/>
      <c r="U734" s="1"/>
      <c r="V734" s="1"/>
      <c r="W734" s="1"/>
      <c r="X734" s="1"/>
    </row>
    <row r="735" spans="1:24" ht="14.25" customHeight="1" x14ac:dyDescent="0.2">
      <c r="A735" s="79"/>
      <c r="B735" s="76"/>
      <c r="C735" s="76"/>
      <c r="D735" s="78"/>
      <c r="E735" s="77"/>
      <c r="F735" s="77"/>
      <c r="G735" s="77"/>
      <c r="H735" s="77"/>
      <c r="I735" s="77"/>
      <c r="J735" s="97"/>
      <c r="K735" s="1"/>
      <c r="L735" s="1"/>
      <c r="M735" s="1"/>
      <c r="N735" s="1"/>
      <c r="O735" s="1"/>
      <c r="P735" s="1"/>
      <c r="Q735" s="1"/>
      <c r="R735" s="1"/>
      <c r="S735" s="1"/>
      <c r="T735" s="1"/>
      <c r="U735" s="1"/>
      <c r="V735" s="1"/>
      <c r="W735" s="1"/>
      <c r="X735" s="1"/>
    </row>
    <row r="736" spans="1:24" ht="14.25" customHeight="1" x14ac:dyDescent="0.2">
      <c r="A736" s="79"/>
      <c r="B736" s="76"/>
      <c r="C736" s="76"/>
      <c r="D736" s="78"/>
      <c r="E736" s="77"/>
      <c r="F736" s="77"/>
      <c r="G736" s="77"/>
      <c r="H736" s="77"/>
      <c r="I736" s="77"/>
      <c r="J736" s="97"/>
      <c r="K736" s="1"/>
      <c r="L736" s="1"/>
      <c r="M736" s="1"/>
      <c r="N736" s="1"/>
      <c r="O736" s="1"/>
      <c r="P736" s="1"/>
      <c r="Q736" s="1"/>
      <c r="R736" s="1"/>
      <c r="S736" s="1"/>
      <c r="T736" s="1"/>
      <c r="U736" s="1"/>
      <c r="V736" s="1"/>
      <c r="W736" s="1"/>
      <c r="X736" s="1"/>
    </row>
    <row r="737" spans="1:24" ht="14.25" customHeight="1" x14ac:dyDescent="0.2">
      <c r="A737" s="79"/>
      <c r="B737" s="76"/>
      <c r="C737" s="76"/>
      <c r="D737" s="78"/>
      <c r="E737" s="77"/>
      <c r="F737" s="77"/>
      <c r="G737" s="77"/>
      <c r="H737" s="77"/>
      <c r="I737" s="77"/>
      <c r="J737" s="97"/>
      <c r="K737" s="1"/>
      <c r="L737" s="1"/>
      <c r="M737" s="1"/>
      <c r="N737" s="1"/>
      <c r="O737" s="1"/>
      <c r="P737" s="1"/>
      <c r="Q737" s="1"/>
      <c r="R737" s="1"/>
      <c r="S737" s="1"/>
      <c r="T737" s="1"/>
      <c r="U737" s="1"/>
      <c r="V737" s="1"/>
      <c r="W737" s="1"/>
      <c r="X737" s="1"/>
    </row>
    <row r="738" spans="1:24" ht="14.25" customHeight="1" x14ac:dyDescent="0.2">
      <c r="A738" s="79"/>
      <c r="B738" s="76"/>
      <c r="C738" s="76"/>
      <c r="D738" s="78"/>
      <c r="E738" s="77"/>
      <c r="F738" s="77"/>
      <c r="G738" s="77"/>
      <c r="H738" s="77"/>
      <c r="I738" s="77"/>
      <c r="J738" s="97"/>
      <c r="K738" s="1"/>
      <c r="L738" s="1"/>
      <c r="M738" s="1"/>
      <c r="N738" s="1"/>
      <c r="O738" s="1"/>
      <c r="P738" s="1"/>
      <c r="Q738" s="1"/>
      <c r="R738" s="1"/>
      <c r="S738" s="1"/>
      <c r="T738" s="1"/>
      <c r="U738" s="1"/>
      <c r="V738" s="1"/>
      <c r="W738" s="1"/>
      <c r="X738" s="1"/>
    </row>
    <row r="739" spans="1:24" ht="14.25" customHeight="1" x14ac:dyDescent="0.2">
      <c r="A739" s="79"/>
      <c r="B739" s="76"/>
      <c r="C739" s="76"/>
      <c r="D739" s="78"/>
      <c r="E739" s="77"/>
      <c r="F739" s="77"/>
      <c r="G739" s="77"/>
      <c r="H739" s="77"/>
      <c r="I739" s="77"/>
      <c r="J739" s="97"/>
      <c r="K739" s="1"/>
      <c r="L739" s="1"/>
      <c r="M739" s="1"/>
      <c r="N739" s="1"/>
      <c r="O739" s="1"/>
      <c r="P739" s="1"/>
      <c r="Q739" s="1"/>
      <c r="R739" s="1"/>
      <c r="S739" s="1"/>
      <c r="T739" s="1"/>
      <c r="U739" s="1"/>
      <c r="V739" s="1"/>
      <c r="W739" s="1"/>
      <c r="X739" s="1"/>
    </row>
    <row r="740" spans="1:24" ht="14.25" customHeight="1" x14ac:dyDescent="0.2">
      <c r="A740" s="79"/>
      <c r="B740" s="76"/>
      <c r="C740" s="76"/>
      <c r="D740" s="78"/>
      <c r="E740" s="77"/>
      <c r="F740" s="77"/>
      <c r="G740" s="77"/>
      <c r="H740" s="77"/>
      <c r="I740" s="77"/>
      <c r="J740" s="97"/>
      <c r="K740" s="1"/>
      <c r="L740" s="1"/>
      <c r="M740" s="1"/>
      <c r="N740" s="1"/>
      <c r="O740" s="1"/>
      <c r="P740" s="1"/>
      <c r="Q740" s="1"/>
      <c r="R740" s="1"/>
      <c r="S740" s="1"/>
      <c r="T740" s="1"/>
      <c r="U740" s="1"/>
      <c r="V740" s="1"/>
      <c r="W740" s="1"/>
      <c r="X740" s="1"/>
    </row>
    <row r="741" spans="1:24" ht="14.25" customHeight="1" x14ac:dyDescent="0.2">
      <c r="A741" s="79"/>
      <c r="B741" s="76"/>
      <c r="C741" s="76"/>
      <c r="D741" s="78"/>
      <c r="E741" s="77"/>
      <c r="F741" s="77"/>
      <c r="G741" s="77"/>
      <c r="H741" s="77"/>
      <c r="I741" s="77"/>
      <c r="J741" s="97"/>
      <c r="K741" s="1"/>
      <c r="L741" s="1"/>
      <c r="M741" s="1"/>
      <c r="N741" s="1"/>
      <c r="O741" s="1"/>
      <c r="P741" s="1"/>
      <c r="Q741" s="1"/>
      <c r="R741" s="1"/>
      <c r="S741" s="1"/>
      <c r="T741" s="1"/>
      <c r="U741" s="1"/>
      <c r="V741" s="1"/>
      <c r="W741" s="1"/>
      <c r="X741" s="1"/>
    </row>
    <row r="742" spans="1:24" ht="14.25" customHeight="1" x14ac:dyDescent="0.2">
      <c r="A742" s="79"/>
      <c r="B742" s="76"/>
      <c r="C742" s="76"/>
      <c r="D742" s="78"/>
      <c r="E742" s="77"/>
      <c r="F742" s="77"/>
      <c r="G742" s="77"/>
      <c r="H742" s="77"/>
      <c r="I742" s="77"/>
      <c r="J742" s="97"/>
      <c r="K742" s="1"/>
      <c r="L742" s="1"/>
      <c r="M742" s="1"/>
      <c r="N742" s="1"/>
      <c r="O742" s="1"/>
      <c r="P742" s="1"/>
      <c r="Q742" s="1"/>
      <c r="R742" s="1"/>
      <c r="S742" s="1"/>
      <c r="T742" s="1"/>
      <c r="U742" s="1"/>
      <c r="V742" s="1"/>
      <c r="W742" s="1"/>
      <c r="X742" s="1"/>
    </row>
    <row r="743" spans="1:24" ht="14.25" customHeight="1" x14ac:dyDescent="0.2">
      <c r="A743" s="79"/>
      <c r="B743" s="76"/>
      <c r="C743" s="76"/>
      <c r="D743" s="78"/>
      <c r="E743" s="77"/>
      <c r="F743" s="77"/>
      <c r="G743" s="77"/>
      <c r="H743" s="77"/>
      <c r="I743" s="77"/>
      <c r="J743" s="97"/>
      <c r="K743" s="1"/>
      <c r="L743" s="1"/>
      <c r="M743" s="1"/>
      <c r="N743" s="1"/>
      <c r="O743" s="1"/>
      <c r="P743" s="1"/>
      <c r="Q743" s="1"/>
      <c r="R743" s="1"/>
      <c r="S743" s="1"/>
      <c r="T743" s="1"/>
      <c r="U743" s="1"/>
      <c r="V743" s="1"/>
      <c r="W743" s="1"/>
      <c r="X743" s="1"/>
    </row>
    <row r="744" spans="1:24" ht="14.25" customHeight="1" x14ac:dyDescent="0.2">
      <c r="A744" s="79"/>
      <c r="B744" s="76"/>
      <c r="C744" s="76"/>
      <c r="D744" s="78"/>
      <c r="E744" s="77"/>
      <c r="F744" s="77"/>
      <c r="G744" s="77"/>
      <c r="H744" s="77"/>
      <c r="I744" s="77"/>
      <c r="J744" s="97"/>
      <c r="K744" s="1"/>
      <c r="L744" s="1"/>
      <c r="M744" s="1"/>
      <c r="N744" s="1"/>
      <c r="O744" s="1"/>
      <c r="P744" s="1"/>
      <c r="Q744" s="1"/>
      <c r="R744" s="1"/>
      <c r="S744" s="1"/>
      <c r="T744" s="1"/>
      <c r="U744" s="1"/>
      <c r="V744" s="1"/>
      <c r="W744" s="1"/>
      <c r="X744" s="1"/>
    </row>
    <row r="745" spans="1:24" ht="14.25" customHeight="1" x14ac:dyDescent="0.2">
      <c r="A745" s="79"/>
      <c r="B745" s="76"/>
      <c r="C745" s="76"/>
      <c r="D745" s="78"/>
      <c r="E745" s="77"/>
      <c r="F745" s="77"/>
      <c r="G745" s="77"/>
      <c r="H745" s="77"/>
      <c r="I745" s="77"/>
      <c r="J745" s="97"/>
      <c r="K745" s="1"/>
      <c r="L745" s="1"/>
      <c r="M745" s="1"/>
      <c r="N745" s="1"/>
      <c r="O745" s="1"/>
      <c r="P745" s="1"/>
      <c r="Q745" s="1"/>
      <c r="R745" s="1"/>
      <c r="S745" s="1"/>
      <c r="T745" s="1"/>
      <c r="U745" s="1"/>
      <c r="V745" s="1"/>
      <c r="W745" s="1"/>
      <c r="X745" s="1"/>
    </row>
    <row r="746" spans="1:24" ht="14.25" customHeight="1" x14ac:dyDescent="0.2">
      <c r="A746" s="79"/>
      <c r="B746" s="76"/>
      <c r="C746" s="76"/>
      <c r="D746" s="78"/>
      <c r="E746" s="77"/>
      <c r="F746" s="77"/>
      <c r="G746" s="77"/>
      <c r="H746" s="77"/>
      <c r="I746" s="77"/>
      <c r="J746" s="97"/>
      <c r="K746" s="1"/>
      <c r="L746" s="1"/>
      <c r="M746" s="1"/>
      <c r="N746" s="1"/>
      <c r="O746" s="1"/>
      <c r="P746" s="1"/>
      <c r="Q746" s="1"/>
      <c r="R746" s="1"/>
      <c r="S746" s="1"/>
      <c r="T746" s="1"/>
      <c r="U746" s="1"/>
      <c r="V746" s="1"/>
      <c r="W746" s="1"/>
      <c r="X746" s="1"/>
    </row>
    <row r="747" spans="1:24" ht="14.25" customHeight="1" x14ac:dyDescent="0.2">
      <c r="A747" s="79"/>
      <c r="B747" s="76"/>
      <c r="C747" s="76"/>
      <c r="D747" s="78"/>
      <c r="E747" s="77"/>
      <c r="F747" s="77"/>
      <c r="G747" s="77"/>
      <c r="H747" s="77"/>
      <c r="I747" s="77"/>
      <c r="J747" s="97"/>
      <c r="K747" s="1"/>
      <c r="L747" s="1"/>
      <c r="M747" s="1"/>
      <c r="N747" s="1"/>
      <c r="O747" s="1"/>
      <c r="P747" s="1"/>
      <c r="Q747" s="1"/>
      <c r="R747" s="1"/>
      <c r="S747" s="1"/>
      <c r="T747" s="1"/>
      <c r="U747" s="1"/>
      <c r="V747" s="1"/>
      <c r="W747" s="1"/>
      <c r="X747" s="1"/>
    </row>
    <row r="748" spans="1:24" ht="14.25" customHeight="1" x14ac:dyDescent="0.2">
      <c r="A748" s="79"/>
      <c r="B748" s="76"/>
      <c r="C748" s="76"/>
      <c r="D748" s="78"/>
      <c r="E748" s="77"/>
      <c r="F748" s="77"/>
      <c r="G748" s="77"/>
      <c r="H748" s="77"/>
      <c r="I748" s="77"/>
      <c r="J748" s="97"/>
      <c r="K748" s="1"/>
      <c r="L748" s="1"/>
      <c r="M748" s="1"/>
      <c r="N748" s="1"/>
      <c r="O748" s="1"/>
      <c r="P748" s="1"/>
      <c r="Q748" s="1"/>
      <c r="R748" s="1"/>
      <c r="S748" s="1"/>
      <c r="T748" s="1"/>
      <c r="U748" s="1"/>
      <c r="V748" s="1"/>
      <c r="W748" s="1"/>
      <c r="X748" s="1"/>
    </row>
    <row r="749" spans="1:24" ht="14.25" customHeight="1" x14ac:dyDescent="0.2">
      <c r="A749" s="79"/>
      <c r="B749" s="76"/>
      <c r="C749" s="76"/>
      <c r="D749" s="78"/>
      <c r="E749" s="77"/>
      <c r="F749" s="77"/>
      <c r="G749" s="77"/>
      <c r="H749" s="77"/>
      <c r="I749" s="77"/>
      <c r="J749" s="97"/>
      <c r="K749" s="1"/>
      <c r="L749" s="1"/>
      <c r="M749" s="1"/>
      <c r="N749" s="1"/>
      <c r="O749" s="1"/>
      <c r="P749" s="1"/>
      <c r="Q749" s="1"/>
      <c r="R749" s="1"/>
      <c r="S749" s="1"/>
      <c r="T749" s="1"/>
      <c r="U749" s="1"/>
      <c r="V749" s="1"/>
      <c r="W749" s="1"/>
      <c r="X749" s="1"/>
    </row>
    <row r="750" spans="1:24" ht="14.25" customHeight="1" x14ac:dyDescent="0.2">
      <c r="A750" s="79"/>
      <c r="B750" s="76"/>
      <c r="C750" s="76"/>
      <c r="D750" s="78"/>
      <c r="E750" s="77"/>
      <c r="F750" s="77"/>
      <c r="G750" s="77"/>
      <c r="H750" s="77"/>
      <c r="I750" s="77"/>
      <c r="J750" s="97"/>
      <c r="K750" s="1"/>
      <c r="L750" s="1"/>
      <c r="M750" s="1"/>
      <c r="N750" s="1"/>
      <c r="O750" s="1"/>
      <c r="P750" s="1"/>
      <c r="Q750" s="1"/>
      <c r="R750" s="1"/>
      <c r="S750" s="1"/>
      <c r="T750" s="1"/>
      <c r="U750" s="1"/>
      <c r="V750" s="1"/>
      <c r="W750" s="1"/>
      <c r="X750" s="1"/>
    </row>
    <row r="751" spans="1:24" ht="14.25" customHeight="1" x14ac:dyDescent="0.2">
      <c r="A751" s="79"/>
      <c r="B751" s="76"/>
      <c r="C751" s="76"/>
      <c r="D751" s="78"/>
      <c r="E751" s="77"/>
      <c r="F751" s="77"/>
      <c r="G751" s="77"/>
      <c r="H751" s="77"/>
      <c r="I751" s="77"/>
      <c r="J751" s="97"/>
      <c r="K751" s="1"/>
      <c r="L751" s="1"/>
      <c r="M751" s="1"/>
      <c r="N751" s="1"/>
      <c r="O751" s="1"/>
      <c r="P751" s="1"/>
      <c r="Q751" s="1"/>
      <c r="R751" s="1"/>
      <c r="S751" s="1"/>
      <c r="T751" s="1"/>
      <c r="U751" s="1"/>
      <c r="V751" s="1"/>
      <c r="W751" s="1"/>
      <c r="X751" s="1"/>
    </row>
    <row r="752" spans="1:24" ht="14.25" customHeight="1" x14ac:dyDescent="0.2">
      <c r="A752" s="79"/>
      <c r="B752" s="76"/>
      <c r="C752" s="76"/>
      <c r="D752" s="78"/>
      <c r="E752" s="77"/>
      <c r="F752" s="77"/>
      <c r="G752" s="77"/>
      <c r="H752" s="77"/>
      <c r="I752" s="77"/>
      <c r="J752" s="97"/>
      <c r="K752" s="1"/>
      <c r="L752" s="1"/>
      <c r="M752" s="1"/>
      <c r="N752" s="1"/>
      <c r="O752" s="1"/>
      <c r="P752" s="1"/>
      <c r="Q752" s="1"/>
      <c r="R752" s="1"/>
      <c r="S752" s="1"/>
      <c r="T752" s="1"/>
      <c r="U752" s="1"/>
      <c r="V752" s="1"/>
      <c r="W752" s="1"/>
      <c r="X752" s="1"/>
    </row>
    <row r="753" spans="1:24" ht="14.25" customHeight="1" x14ac:dyDescent="0.2">
      <c r="A753" s="79"/>
      <c r="B753" s="76"/>
      <c r="C753" s="76"/>
      <c r="D753" s="78"/>
      <c r="E753" s="77"/>
      <c r="F753" s="77"/>
      <c r="G753" s="77"/>
      <c r="H753" s="77"/>
      <c r="I753" s="77"/>
      <c r="J753" s="97"/>
      <c r="K753" s="1"/>
      <c r="L753" s="1"/>
      <c r="M753" s="1"/>
      <c r="N753" s="1"/>
      <c r="O753" s="1"/>
      <c r="P753" s="1"/>
      <c r="Q753" s="1"/>
      <c r="R753" s="1"/>
      <c r="S753" s="1"/>
      <c r="T753" s="1"/>
      <c r="U753" s="1"/>
      <c r="V753" s="1"/>
      <c r="W753" s="1"/>
      <c r="X753" s="1"/>
    </row>
    <row r="754" spans="1:24" ht="14.25" customHeight="1" x14ac:dyDescent="0.2">
      <c r="A754" s="79"/>
      <c r="B754" s="76"/>
      <c r="C754" s="76"/>
      <c r="D754" s="78"/>
      <c r="E754" s="77"/>
      <c r="F754" s="77"/>
      <c r="G754" s="77"/>
      <c r="H754" s="77"/>
      <c r="I754" s="77"/>
      <c r="J754" s="97"/>
      <c r="K754" s="1"/>
      <c r="L754" s="1"/>
      <c r="M754" s="1"/>
      <c r="N754" s="1"/>
      <c r="O754" s="1"/>
      <c r="P754" s="1"/>
      <c r="Q754" s="1"/>
      <c r="R754" s="1"/>
      <c r="S754" s="1"/>
      <c r="T754" s="1"/>
      <c r="U754" s="1"/>
      <c r="V754" s="1"/>
      <c r="W754" s="1"/>
      <c r="X754" s="1"/>
    </row>
    <row r="755" spans="1:24" ht="14.25" customHeight="1" x14ac:dyDescent="0.2">
      <c r="A755" s="79"/>
      <c r="B755" s="76"/>
      <c r="C755" s="76"/>
      <c r="D755" s="78"/>
      <c r="E755" s="77"/>
      <c r="F755" s="77"/>
      <c r="G755" s="77"/>
      <c r="H755" s="77"/>
      <c r="I755" s="77"/>
      <c r="J755" s="97"/>
      <c r="K755" s="1"/>
      <c r="L755" s="1"/>
      <c r="M755" s="1"/>
      <c r="N755" s="1"/>
      <c r="O755" s="1"/>
      <c r="P755" s="1"/>
      <c r="Q755" s="1"/>
      <c r="R755" s="1"/>
      <c r="S755" s="1"/>
      <c r="T755" s="1"/>
      <c r="U755" s="1"/>
      <c r="V755" s="1"/>
      <c r="W755" s="1"/>
      <c r="X755" s="1"/>
    </row>
    <row r="756" spans="1:24" ht="14.25" customHeight="1" x14ac:dyDescent="0.2">
      <c r="A756" s="79"/>
      <c r="B756" s="76"/>
      <c r="C756" s="76"/>
      <c r="D756" s="78"/>
      <c r="E756" s="77"/>
      <c r="F756" s="77"/>
      <c r="G756" s="77"/>
      <c r="H756" s="77"/>
      <c r="I756" s="77"/>
      <c r="J756" s="97"/>
      <c r="K756" s="1"/>
      <c r="L756" s="1"/>
      <c r="M756" s="1"/>
      <c r="N756" s="1"/>
      <c r="O756" s="1"/>
      <c r="P756" s="1"/>
      <c r="Q756" s="1"/>
      <c r="R756" s="1"/>
      <c r="S756" s="1"/>
      <c r="T756" s="1"/>
      <c r="U756" s="1"/>
      <c r="V756" s="1"/>
      <c r="W756" s="1"/>
      <c r="X756" s="1"/>
    </row>
    <row r="757" spans="1:24" ht="14.25" customHeight="1" x14ac:dyDescent="0.2">
      <c r="A757" s="79"/>
      <c r="B757" s="76"/>
      <c r="C757" s="76"/>
      <c r="D757" s="78"/>
      <c r="E757" s="77"/>
      <c r="F757" s="77"/>
      <c r="G757" s="77"/>
      <c r="H757" s="77"/>
      <c r="I757" s="77"/>
      <c r="J757" s="97"/>
      <c r="K757" s="1"/>
      <c r="L757" s="1"/>
      <c r="M757" s="1"/>
      <c r="N757" s="1"/>
      <c r="O757" s="1"/>
      <c r="P757" s="1"/>
      <c r="Q757" s="1"/>
      <c r="R757" s="1"/>
      <c r="S757" s="1"/>
      <c r="T757" s="1"/>
      <c r="U757" s="1"/>
      <c r="V757" s="1"/>
      <c r="W757" s="1"/>
      <c r="X757" s="1"/>
    </row>
    <row r="758" spans="1:24" ht="14.25" customHeight="1" x14ac:dyDescent="0.2">
      <c r="A758" s="79"/>
      <c r="B758" s="76"/>
      <c r="C758" s="76"/>
      <c r="D758" s="78"/>
      <c r="E758" s="77"/>
      <c r="F758" s="77"/>
      <c r="G758" s="77"/>
      <c r="H758" s="77"/>
      <c r="I758" s="77"/>
      <c r="J758" s="97"/>
      <c r="K758" s="1"/>
      <c r="L758" s="1"/>
      <c r="M758" s="1"/>
      <c r="N758" s="1"/>
      <c r="O758" s="1"/>
      <c r="P758" s="1"/>
      <c r="Q758" s="1"/>
      <c r="R758" s="1"/>
      <c r="S758" s="1"/>
      <c r="T758" s="1"/>
      <c r="U758" s="1"/>
      <c r="V758" s="1"/>
      <c r="W758" s="1"/>
      <c r="X758" s="1"/>
    </row>
    <row r="759" spans="1:24" ht="14.25" customHeight="1" x14ac:dyDescent="0.2">
      <c r="A759" s="79"/>
      <c r="B759" s="76"/>
      <c r="C759" s="76"/>
      <c r="D759" s="78"/>
      <c r="E759" s="77"/>
      <c r="F759" s="77"/>
      <c r="G759" s="77"/>
      <c r="H759" s="77"/>
      <c r="I759" s="77"/>
      <c r="J759" s="97"/>
      <c r="K759" s="1"/>
      <c r="L759" s="1"/>
      <c r="M759" s="1"/>
      <c r="N759" s="1"/>
      <c r="O759" s="1"/>
      <c r="P759" s="1"/>
      <c r="Q759" s="1"/>
      <c r="R759" s="1"/>
      <c r="S759" s="1"/>
      <c r="T759" s="1"/>
      <c r="U759" s="1"/>
      <c r="V759" s="1"/>
      <c r="W759" s="1"/>
      <c r="X759" s="1"/>
    </row>
    <row r="760" spans="1:24" ht="14.25" customHeight="1" x14ac:dyDescent="0.2">
      <c r="A760" s="79"/>
      <c r="B760" s="76"/>
      <c r="C760" s="76"/>
      <c r="D760" s="78"/>
      <c r="E760" s="77"/>
      <c r="F760" s="77"/>
      <c r="G760" s="77"/>
      <c r="H760" s="77"/>
      <c r="I760" s="77"/>
      <c r="J760" s="97"/>
      <c r="K760" s="1"/>
      <c r="L760" s="1"/>
      <c r="M760" s="1"/>
      <c r="N760" s="1"/>
      <c r="O760" s="1"/>
      <c r="P760" s="1"/>
      <c r="Q760" s="1"/>
      <c r="R760" s="1"/>
      <c r="S760" s="1"/>
      <c r="T760" s="1"/>
      <c r="U760" s="1"/>
      <c r="V760" s="1"/>
      <c r="W760" s="1"/>
      <c r="X760" s="1"/>
    </row>
    <row r="761" spans="1:24" ht="14.25" customHeight="1" x14ac:dyDescent="0.2">
      <c r="A761" s="79"/>
      <c r="B761" s="76"/>
      <c r="C761" s="76"/>
      <c r="D761" s="78"/>
      <c r="E761" s="77"/>
      <c r="F761" s="77"/>
      <c r="G761" s="77"/>
      <c r="H761" s="77"/>
      <c r="I761" s="77"/>
      <c r="J761" s="97"/>
      <c r="K761" s="1"/>
      <c r="L761" s="1"/>
      <c r="M761" s="1"/>
      <c r="N761" s="1"/>
      <c r="O761" s="1"/>
      <c r="P761" s="1"/>
      <c r="Q761" s="1"/>
      <c r="R761" s="1"/>
      <c r="S761" s="1"/>
      <c r="T761" s="1"/>
      <c r="U761" s="1"/>
      <c r="V761" s="1"/>
      <c r="W761" s="1"/>
      <c r="X761" s="1"/>
    </row>
    <row r="762" spans="1:24" ht="14.25" customHeight="1" x14ac:dyDescent="0.2">
      <c r="A762" s="79"/>
      <c r="B762" s="76"/>
      <c r="C762" s="76"/>
      <c r="D762" s="78"/>
      <c r="E762" s="77"/>
      <c r="F762" s="77"/>
      <c r="G762" s="77"/>
      <c r="H762" s="77"/>
      <c r="I762" s="77"/>
      <c r="J762" s="97"/>
      <c r="K762" s="1"/>
      <c r="L762" s="1"/>
      <c r="M762" s="1"/>
      <c r="N762" s="1"/>
      <c r="O762" s="1"/>
      <c r="P762" s="1"/>
      <c r="Q762" s="1"/>
      <c r="R762" s="1"/>
      <c r="S762" s="1"/>
      <c r="T762" s="1"/>
      <c r="U762" s="1"/>
      <c r="V762" s="1"/>
      <c r="W762" s="1"/>
      <c r="X762" s="1"/>
    </row>
    <row r="763" spans="1:24" ht="14.25" customHeight="1" x14ac:dyDescent="0.2">
      <c r="A763" s="79"/>
      <c r="B763" s="76"/>
      <c r="C763" s="76"/>
      <c r="D763" s="78"/>
      <c r="E763" s="77"/>
      <c r="F763" s="77"/>
      <c r="G763" s="77"/>
      <c r="H763" s="77"/>
      <c r="I763" s="77"/>
      <c r="J763" s="97"/>
      <c r="K763" s="1"/>
      <c r="L763" s="1"/>
      <c r="M763" s="1"/>
      <c r="N763" s="1"/>
      <c r="O763" s="1"/>
      <c r="P763" s="1"/>
      <c r="Q763" s="1"/>
      <c r="R763" s="1"/>
      <c r="S763" s="1"/>
      <c r="T763" s="1"/>
      <c r="U763" s="1"/>
      <c r="V763" s="1"/>
      <c r="W763" s="1"/>
      <c r="X763" s="1"/>
    </row>
    <row r="764" spans="1:24" ht="14.25" customHeight="1" x14ac:dyDescent="0.2">
      <c r="A764" s="79"/>
      <c r="B764" s="76"/>
      <c r="C764" s="76"/>
      <c r="D764" s="78"/>
      <c r="E764" s="77"/>
      <c r="F764" s="77"/>
      <c r="G764" s="77"/>
      <c r="H764" s="77"/>
      <c r="I764" s="77"/>
      <c r="J764" s="97"/>
      <c r="K764" s="1"/>
      <c r="L764" s="1"/>
      <c r="M764" s="1"/>
      <c r="N764" s="1"/>
      <c r="O764" s="1"/>
      <c r="P764" s="1"/>
      <c r="Q764" s="1"/>
      <c r="R764" s="1"/>
      <c r="S764" s="1"/>
      <c r="T764" s="1"/>
      <c r="U764" s="1"/>
      <c r="V764" s="1"/>
      <c r="W764" s="1"/>
      <c r="X764" s="1"/>
    </row>
    <row r="765" spans="1:24" ht="14.25" customHeight="1" x14ac:dyDescent="0.2">
      <c r="A765" s="79"/>
      <c r="B765" s="76"/>
      <c r="C765" s="76"/>
      <c r="D765" s="78"/>
      <c r="E765" s="77"/>
      <c r="F765" s="77"/>
      <c r="G765" s="77"/>
      <c r="H765" s="77"/>
      <c r="I765" s="77"/>
      <c r="J765" s="97"/>
      <c r="K765" s="1"/>
      <c r="L765" s="1"/>
      <c r="M765" s="1"/>
      <c r="N765" s="1"/>
      <c r="O765" s="1"/>
      <c r="P765" s="1"/>
      <c r="Q765" s="1"/>
      <c r="R765" s="1"/>
      <c r="S765" s="1"/>
      <c r="T765" s="1"/>
      <c r="U765" s="1"/>
      <c r="V765" s="1"/>
      <c r="W765" s="1"/>
      <c r="X765" s="1"/>
    </row>
    <row r="766" spans="1:24" ht="14.25" customHeight="1" x14ac:dyDescent="0.2">
      <c r="A766" s="79"/>
      <c r="B766" s="76"/>
      <c r="C766" s="76"/>
      <c r="D766" s="78"/>
      <c r="E766" s="77"/>
      <c r="F766" s="77"/>
      <c r="G766" s="77"/>
      <c r="H766" s="77"/>
      <c r="I766" s="77"/>
      <c r="J766" s="97"/>
      <c r="K766" s="1"/>
      <c r="L766" s="1"/>
      <c r="M766" s="1"/>
      <c r="N766" s="1"/>
      <c r="O766" s="1"/>
      <c r="P766" s="1"/>
      <c r="Q766" s="1"/>
      <c r="R766" s="1"/>
      <c r="S766" s="1"/>
      <c r="T766" s="1"/>
      <c r="U766" s="1"/>
      <c r="V766" s="1"/>
      <c r="W766" s="1"/>
      <c r="X766" s="1"/>
    </row>
    <row r="767" spans="1:24" ht="14.25" customHeight="1" x14ac:dyDescent="0.2">
      <c r="A767" s="79"/>
      <c r="B767" s="76"/>
      <c r="C767" s="76"/>
      <c r="D767" s="78"/>
      <c r="E767" s="77"/>
      <c r="F767" s="77"/>
      <c r="G767" s="77"/>
      <c r="H767" s="77"/>
      <c r="I767" s="77"/>
      <c r="J767" s="97"/>
      <c r="K767" s="1"/>
      <c r="L767" s="1"/>
      <c r="M767" s="1"/>
      <c r="N767" s="1"/>
      <c r="O767" s="1"/>
      <c r="P767" s="1"/>
      <c r="Q767" s="1"/>
      <c r="R767" s="1"/>
      <c r="S767" s="1"/>
      <c r="T767" s="1"/>
      <c r="U767" s="1"/>
      <c r="V767" s="1"/>
      <c r="W767" s="1"/>
      <c r="X767" s="1"/>
    </row>
    <row r="768" spans="1:24" ht="14.25" customHeight="1" x14ac:dyDescent="0.2">
      <c r="A768" s="79"/>
      <c r="B768" s="76"/>
      <c r="C768" s="76"/>
      <c r="D768" s="78"/>
      <c r="E768" s="77"/>
      <c r="F768" s="77"/>
      <c r="G768" s="77"/>
      <c r="H768" s="77"/>
      <c r="I768" s="77"/>
      <c r="J768" s="97"/>
      <c r="K768" s="1"/>
      <c r="L768" s="1"/>
      <c r="M768" s="1"/>
      <c r="N768" s="1"/>
      <c r="O768" s="1"/>
      <c r="P768" s="1"/>
      <c r="Q768" s="1"/>
      <c r="R768" s="1"/>
      <c r="S768" s="1"/>
      <c r="T768" s="1"/>
      <c r="U768" s="1"/>
      <c r="V768" s="1"/>
      <c r="W768" s="1"/>
      <c r="X768" s="1"/>
    </row>
    <row r="769" spans="1:24" ht="14.25" customHeight="1" x14ac:dyDescent="0.2">
      <c r="A769" s="79"/>
      <c r="B769" s="76"/>
      <c r="C769" s="76"/>
      <c r="D769" s="78"/>
      <c r="E769" s="77"/>
      <c r="F769" s="77"/>
      <c r="G769" s="77"/>
      <c r="H769" s="77"/>
      <c r="I769" s="77"/>
      <c r="J769" s="97"/>
      <c r="K769" s="1"/>
      <c r="L769" s="1"/>
      <c r="M769" s="1"/>
      <c r="N769" s="1"/>
      <c r="O769" s="1"/>
      <c r="P769" s="1"/>
      <c r="Q769" s="1"/>
      <c r="R769" s="1"/>
      <c r="S769" s="1"/>
      <c r="T769" s="1"/>
      <c r="U769" s="1"/>
      <c r="V769" s="1"/>
      <c r="W769" s="1"/>
      <c r="X769" s="1"/>
    </row>
    <row r="770" spans="1:24" ht="14.25" customHeight="1" x14ac:dyDescent="0.2">
      <c r="A770" s="79"/>
      <c r="B770" s="76"/>
      <c r="C770" s="76"/>
      <c r="D770" s="78"/>
      <c r="E770" s="77"/>
      <c r="F770" s="77"/>
      <c r="G770" s="77"/>
      <c r="H770" s="77"/>
      <c r="I770" s="77"/>
      <c r="J770" s="97"/>
      <c r="K770" s="1"/>
      <c r="L770" s="1"/>
      <c r="M770" s="1"/>
      <c r="N770" s="1"/>
      <c r="O770" s="1"/>
      <c r="P770" s="1"/>
      <c r="Q770" s="1"/>
      <c r="R770" s="1"/>
      <c r="S770" s="1"/>
      <c r="T770" s="1"/>
      <c r="U770" s="1"/>
      <c r="V770" s="1"/>
      <c r="W770" s="1"/>
      <c r="X770" s="1"/>
    </row>
    <row r="771" spans="1:24" ht="14.25" customHeight="1" x14ac:dyDescent="0.2">
      <c r="A771" s="79"/>
      <c r="B771" s="76"/>
      <c r="C771" s="76"/>
      <c r="D771" s="78"/>
      <c r="E771" s="77"/>
      <c r="F771" s="77"/>
      <c r="G771" s="77"/>
      <c r="H771" s="77"/>
      <c r="I771" s="77"/>
      <c r="J771" s="97"/>
      <c r="K771" s="1"/>
      <c r="L771" s="1"/>
      <c r="M771" s="1"/>
      <c r="N771" s="1"/>
      <c r="O771" s="1"/>
      <c r="P771" s="1"/>
      <c r="Q771" s="1"/>
      <c r="R771" s="1"/>
      <c r="S771" s="1"/>
      <c r="T771" s="1"/>
      <c r="U771" s="1"/>
      <c r="V771" s="1"/>
      <c r="W771" s="1"/>
      <c r="X771" s="1"/>
    </row>
    <row r="772" spans="1:24" ht="14.25" customHeight="1" x14ac:dyDescent="0.2">
      <c r="A772" s="79"/>
      <c r="B772" s="76"/>
      <c r="C772" s="76"/>
      <c r="D772" s="78"/>
      <c r="E772" s="77"/>
      <c r="F772" s="77"/>
      <c r="G772" s="77"/>
      <c r="H772" s="77"/>
      <c r="I772" s="77"/>
      <c r="J772" s="97"/>
      <c r="K772" s="1"/>
      <c r="L772" s="1"/>
      <c r="M772" s="1"/>
      <c r="N772" s="1"/>
      <c r="O772" s="1"/>
      <c r="P772" s="1"/>
      <c r="Q772" s="1"/>
      <c r="R772" s="1"/>
      <c r="S772" s="1"/>
      <c r="T772" s="1"/>
      <c r="U772" s="1"/>
      <c r="V772" s="1"/>
      <c r="W772" s="1"/>
      <c r="X772" s="1"/>
    </row>
    <row r="773" spans="1:24" ht="14.25" customHeight="1" x14ac:dyDescent="0.2">
      <c r="A773" s="79"/>
      <c r="B773" s="76"/>
      <c r="C773" s="76"/>
      <c r="D773" s="78"/>
      <c r="E773" s="77"/>
      <c r="F773" s="77"/>
      <c r="G773" s="77"/>
      <c r="H773" s="77"/>
      <c r="I773" s="77"/>
      <c r="J773" s="97"/>
      <c r="K773" s="1"/>
      <c r="L773" s="1"/>
      <c r="M773" s="1"/>
      <c r="N773" s="1"/>
      <c r="O773" s="1"/>
      <c r="P773" s="1"/>
      <c r="Q773" s="1"/>
      <c r="R773" s="1"/>
      <c r="S773" s="1"/>
      <c r="T773" s="1"/>
      <c r="U773" s="1"/>
      <c r="V773" s="1"/>
      <c r="W773" s="1"/>
      <c r="X773" s="1"/>
    </row>
    <row r="774" spans="1:24" ht="14.25" customHeight="1" x14ac:dyDescent="0.2">
      <c r="A774" s="79"/>
      <c r="B774" s="76"/>
      <c r="C774" s="76"/>
      <c r="D774" s="78"/>
      <c r="E774" s="77"/>
      <c r="F774" s="77"/>
      <c r="G774" s="77"/>
      <c r="H774" s="77"/>
      <c r="I774" s="77"/>
      <c r="J774" s="97"/>
      <c r="K774" s="1"/>
      <c r="L774" s="1"/>
      <c r="M774" s="1"/>
      <c r="N774" s="1"/>
      <c r="O774" s="1"/>
      <c r="P774" s="1"/>
      <c r="Q774" s="1"/>
      <c r="R774" s="1"/>
      <c r="S774" s="1"/>
      <c r="T774" s="1"/>
      <c r="U774" s="1"/>
      <c r="V774" s="1"/>
      <c r="W774" s="1"/>
      <c r="X774" s="1"/>
    </row>
    <row r="775" spans="1:24" ht="14.25" customHeight="1" x14ac:dyDescent="0.2">
      <c r="A775" s="79"/>
      <c r="B775" s="76"/>
      <c r="C775" s="76"/>
      <c r="D775" s="78"/>
      <c r="E775" s="77"/>
      <c r="F775" s="77"/>
      <c r="G775" s="77"/>
      <c r="H775" s="77"/>
      <c r="I775" s="77"/>
      <c r="J775" s="97"/>
      <c r="K775" s="1"/>
      <c r="L775" s="1"/>
      <c r="M775" s="1"/>
      <c r="N775" s="1"/>
      <c r="O775" s="1"/>
      <c r="P775" s="1"/>
      <c r="Q775" s="1"/>
      <c r="R775" s="1"/>
      <c r="S775" s="1"/>
      <c r="T775" s="1"/>
      <c r="U775" s="1"/>
      <c r="V775" s="1"/>
      <c r="W775" s="1"/>
      <c r="X775" s="1"/>
    </row>
    <row r="776" spans="1:24" ht="14.25" customHeight="1" x14ac:dyDescent="0.2">
      <c r="A776" s="79"/>
      <c r="B776" s="76"/>
      <c r="C776" s="76"/>
      <c r="D776" s="78"/>
      <c r="E776" s="77"/>
      <c r="F776" s="77"/>
      <c r="G776" s="77"/>
      <c r="H776" s="77"/>
      <c r="I776" s="77"/>
      <c r="J776" s="97"/>
      <c r="K776" s="1"/>
      <c r="L776" s="1"/>
      <c r="M776" s="1"/>
      <c r="N776" s="1"/>
      <c r="O776" s="1"/>
      <c r="P776" s="1"/>
      <c r="Q776" s="1"/>
      <c r="R776" s="1"/>
      <c r="S776" s="1"/>
      <c r="T776" s="1"/>
      <c r="U776" s="1"/>
      <c r="V776" s="1"/>
      <c r="W776" s="1"/>
      <c r="X776" s="1"/>
    </row>
    <row r="777" spans="1:24" ht="14.25" customHeight="1" x14ac:dyDescent="0.2">
      <c r="A777" s="79"/>
      <c r="B777" s="76"/>
      <c r="C777" s="76"/>
      <c r="D777" s="78"/>
      <c r="E777" s="77"/>
      <c r="F777" s="77"/>
      <c r="G777" s="77"/>
      <c r="H777" s="77"/>
      <c r="I777" s="77"/>
      <c r="J777" s="97"/>
      <c r="K777" s="1"/>
      <c r="L777" s="1"/>
      <c r="M777" s="1"/>
      <c r="N777" s="1"/>
      <c r="O777" s="1"/>
      <c r="P777" s="1"/>
      <c r="Q777" s="1"/>
      <c r="R777" s="1"/>
      <c r="S777" s="1"/>
      <c r="T777" s="1"/>
      <c r="U777" s="1"/>
      <c r="V777" s="1"/>
      <c r="W777" s="1"/>
      <c r="X777" s="1"/>
    </row>
    <row r="778" spans="1:24" ht="14.25" customHeight="1" x14ac:dyDescent="0.2">
      <c r="A778" s="79"/>
      <c r="B778" s="76"/>
      <c r="C778" s="76"/>
      <c r="D778" s="78"/>
      <c r="E778" s="77"/>
      <c r="F778" s="77"/>
      <c r="G778" s="77"/>
      <c r="H778" s="77"/>
      <c r="I778" s="77"/>
      <c r="J778" s="97"/>
      <c r="K778" s="1"/>
      <c r="L778" s="1"/>
      <c r="M778" s="1"/>
      <c r="N778" s="1"/>
      <c r="O778" s="1"/>
      <c r="P778" s="1"/>
      <c r="Q778" s="1"/>
      <c r="R778" s="1"/>
      <c r="S778" s="1"/>
      <c r="T778" s="1"/>
      <c r="U778" s="1"/>
      <c r="V778" s="1"/>
      <c r="W778" s="1"/>
      <c r="X778" s="1"/>
    </row>
    <row r="779" spans="1:24" ht="14.25" customHeight="1" x14ac:dyDescent="0.2">
      <c r="A779" s="79"/>
      <c r="B779" s="76"/>
      <c r="C779" s="76"/>
      <c r="D779" s="78"/>
      <c r="E779" s="77"/>
      <c r="F779" s="77"/>
      <c r="G779" s="77"/>
      <c r="H779" s="77"/>
      <c r="I779" s="77"/>
      <c r="J779" s="97"/>
      <c r="K779" s="1"/>
      <c r="L779" s="1"/>
      <c r="M779" s="1"/>
      <c r="N779" s="1"/>
      <c r="O779" s="1"/>
      <c r="P779" s="1"/>
      <c r="Q779" s="1"/>
      <c r="R779" s="1"/>
      <c r="S779" s="1"/>
      <c r="T779" s="1"/>
      <c r="U779" s="1"/>
      <c r="V779" s="1"/>
      <c r="W779" s="1"/>
      <c r="X779" s="1"/>
    </row>
    <row r="780" spans="1:24" ht="14.25" customHeight="1" x14ac:dyDescent="0.2">
      <c r="A780" s="79"/>
      <c r="B780" s="76"/>
      <c r="C780" s="76"/>
      <c r="D780" s="78"/>
      <c r="E780" s="77"/>
      <c r="F780" s="77"/>
      <c r="G780" s="77"/>
      <c r="H780" s="77"/>
      <c r="I780" s="77"/>
      <c r="J780" s="97"/>
      <c r="K780" s="1"/>
      <c r="L780" s="1"/>
      <c r="M780" s="1"/>
      <c r="N780" s="1"/>
      <c r="O780" s="1"/>
      <c r="P780" s="1"/>
      <c r="Q780" s="1"/>
      <c r="R780" s="1"/>
      <c r="S780" s="1"/>
      <c r="T780" s="1"/>
      <c r="U780" s="1"/>
      <c r="V780" s="1"/>
      <c r="W780" s="1"/>
      <c r="X780" s="1"/>
    </row>
    <row r="781" spans="1:24" ht="14.25" customHeight="1" x14ac:dyDescent="0.2">
      <c r="A781" s="79"/>
      <c r="B781" s="76"/>
      <c r="C781" s="76"/>
      <c r="D781" s="78"/>
      <c r="E781" s="77"/>
      <c r="F781" s="77"/>
      <c r="G781" s="77"/>
      <c r="H781" s="77"/>
      <c r="I781" s="77"/>
      <c r="J781" s="97"/>
      <c r="K781" s="1"/>
      <c r="L781" s="1"/>
      <c r="M781" s="1"/>
      <c r="N781" s="1"/>
      <c r="O781" s="1"/>
      <c r="P781" s="1"/>
      <c r="Q781" s="1"/>
      <c r="R781" s="1"/>
      <c r="S781" s="1"/>
      <c r="T781" s="1"/>
      <c r="U781" s="1"/>
      <c r="V781" s="1"/>
      <c r="W781" s="1"/>
      <c r="X781" s="1"/>
    </row>
    <row r="782" spans="1:24" ht="14.25" customHeight="1" x14ac:dyDescent="0.2">
      <c r="A782" s="79"/>
      <c r="B782" s="76"/>
      <c r="C782" s="76"/>
      <c r="D782" s="78"/>
      <c r="E782" s="77"/>
      <c r="F782" s="77"/>
      <c r="G782" s="77"/>
      <c r="H782" s="77"/>
      <c r="I782" s="77"/>
      <c r="J782" s="97"/>
      <c r="K782" s="1"/>
      <c r="L782" s="1"/>
      <c r="M782" s="1"/>
      <c r="N782" s="1"/>
      <c r="O782" s="1"/>
      <c r="P782" s="1"/>
      <c r="Q782" s="1"/>
      <c r="R782" s="1"/>
      <c r="S782" s="1"/>
      <c r="T782" s="1"/>
      <c r="U782" s="1"/>
      <c r="V782" s="1"/>
      <c r="W782" s="1"/>
      <c r="X782" s="1"/>
    </row>
    <row r="783" spans="1:24" ht="14.25" customHeight="1" x14ac:dyDescent="0.2">
      <c r="A783" s="79"/>
      <c r="B783" s="76"/>
      <c r="C783" s="76"/>
      <c r="D783" s="78"/>
      <c r="E783" s="77"/>
      <c r="F783" s="77"/>
      <c r="G783" s="77"/>
      <c r="H783" s="77"/>
      <c r="I783" s="77"/>
      <c r="J783" s="97"/>
      <c r="K783" s="1"/>
      <c r="L783" s="1"/>
      <c r="M783" s="1"/>
      <c r="N783" s="1"/>
      <c r="O783" s="1"/>
      <c r="P783" s="1"/>
      <c r="Q783" s="1"/>
      <c r="R783" s="1"/>
      <c r="S783" s="1"/>
      <c r="T783" s="1"/>
      <c r="U783" s="1"/>
      <c r="V783" s="1"/>
      <c r="W783" s="1"/>
      <c r="X783" s="1"/>
    </row>
    <row r="784" spans="1:24" ht="14.25" customHeight="1" x14ac:dyDescent="0.2">
      <c r="A784" s="79"/>
      <c r="B784" s="76"/>
      <c r="C784" s="76"/>
      <c r="D784" s="78"/>
      <c r="E784" s="77"/>
      <c r="F784" s="77"/>
      <c r="G784" s="77"/>
      <c r="H784" s="77"/>
      <c r="I784" s="77"/>
      <c r="J784" s="97"/>
      <c r="K784" s="1"/>
      <c r="L784" s="1"/>
      <c r="M784" s="1"/>
      <c r="N784" s="1"/>
      <c r="O784" s="1"/>
      <c r="P784" s="1"/>
      <c r="Q784" s="1"/>
      <c r="R784" s="1"/>
      <c r="S784" s="1"/>
      <c r="T784" s="1"/>
      <c r="U784" s="1"/>
      <c r="V784" s="1"/>
      <c r="W784" s="1"/>
      <c r="X784" s="1"/>
    </row>
    <row r="785" spans="1:24" ht="14.25" customHeight="1" x14ac:dyDescent="0.2">
      <c r="A785" s="79"/>
      <c r="B785" s="76"/>
      <c r="C785" s="76"/>
      <c r="D785" s="78"/>
      <c r="E785" s="77"/>
      <c r="F785" s="77"/>
      <c r="G785" s="77"/>
      <c r="H785" s="77"/>
      <c r="I785" s="77"/>
      <c r="J785" s="97"/>
      <c r="K785" s="1"/>
      <c r="L785" s="1"/>
      <c r="M785" s="1"/>
      <c r="N785" s="1"/>
      <c r="O785" s="1"/>
      <c r="P785" s="1"/>
      <c r="Q785" s="1"/>
      <c r="R785" s="1"/>
      <c r="S785" s="1"/>
      <c r="T785" s="1"/>
      <c r="U785" s="1"/>
      <c r="V785" s="1"/>
      <c r="W785" s="1"/>
      <c r="X785" s="1"/>
    </row>
    <row r="786" spans="1:24" ht="14.25" customHeight="1" x14ac:dyDescent="0.2">
      <c r="A786" s="79"/>
      <c r="B786" s="76"/>
      <c r="C786" s="76"/>
      <c r="D786" s="78"/>
      <c r="E786" s="77"/>
      <c r="F786" s="77"/>
      <c r="G786" s="77"/>
      <c r="H786" s="77"/>
      <c r="I786" s="77"/>
      <c r="J786" s="97"/>
      <c r="K786" s="1"/>
      <c r="L786" s="1"/>
      <c r="M786" s="1"/>
      <c r="N786" s="1"/>
      <c r="O786" s="1"/>
      <c r="P786" s="1"/>
      <c r="Q786" s="1"/>
      <c r="R786" s="1"/>
      <c r="S786" s="1"/>
      <c r="T786" s="1"/>
      <c r="U786" s="1"/>
      <c r="V786" s="1"/>
      <c r="W786" s="1"/>
      <c r="X786" s="1"/>
    </row>
    <row r="787" spans="1:24" ht="14.25" customHeight="1" x14ac:dyDescent="0.2">
      <c r="A787" s="79"/>
      <c r="B787" s="76"/>
      <c r="C787" s="76"/>
      <c r="D787" s="78"/>
      <c r="E787" s="77"/>
      <c r="F787" s="77"/>
      <c r="G787" s="77"/>
      <c r="H787" s="77"/>
      <c r="I787" s="77"/>
      <c r="J787" s="97"/>
      <c r="K787" s="1"/>
      <c r="L787" s="1"/>
      <c r="M787" s="1"/>
      <c r="N787" s="1"/>
      <c r="O787" s="1"/>
      <c r="P787" s="1"/>
      <c r="Q787" s="1"/>
      <c r="R787" s="1"/>
      <c r="S787" s="1"/>
      <c r="T787" s="1"/>
      <c r="U787" s="1"/>
      <c r="V787" s="1"/>
      <c r="W787" s="1"/>
      <c r="X787" s="1"/>
    </row>
    <row r="788" spans="1:24" ht="14.25" customHeight="1" x14ac:dyDescent="0.2">
      <c r="A788" s="79"/>
      <c r="B788" s="76"/>
      <c r="C788" s="76"/>
      <c r="D788" s="78"/>
      <c r="E788" s="77"/>
      <c r="F788" s="77"/>
      <c r="G788" s="77"/>
      <c r="H788" s="77"/>
      <c r="I788" s="77"/>
      <c r="J788" s="97"/>
      <c r="K788" s="1"/>
      <c r="L788" s="1"/>
      <c r="M788" s="1"/>
      <c r="N788" s="1"/>
      <c r="O788" s="1"/>
      <c r="P788" s="1"/>
      <c r="Q788" s="1"/>
      <c r="R788" s="1"/>
      <c r="S788" s="1"/>
      <c r="T788" s="1"/>
      <c r="U788" s="1"/>
      <c r="V788" s="1"/>
      <c r="W788" s="1"/>
      <c r="X788" s="1"/>
    </row>
    <row r="789" spans="1:24" ht="14.25" customHeight="1" x14ac:dyDescent="0.2">
      <c r="A789" s="79"/>
      <c r="B789" s="76"/>
      <c r="C789" s="76"/>
      <c r="D789" s="78"/>
      <c r="E789" s="77"/>
      <c r="F789" s="77"/>
      <c r="G789" s="77"/>
      <c r="H789" s="77"/>
      <c r="I789" s="77"/>
      <c r="J789" s="97"/>
      <c r="K789" s="1"/>
      <c r="L789" s="1"/>
      <c r="M789" s="1"/>
      <c r="N789" s="1"/>
      <c r="O789" s="1"/>
      <c r="P789" s="1"/>
      <c r="Q789" s="1"/>
      <c r="R789" s="1"/>
      <c r="S789" s="1"/>
      <c r="T789" s="1"/>
      <c r="U789" s="1"/>
      <c r="V789" s="1"/>
      <c r="W789" s="1"/>
      <c r="X789" s="1"/>
    </row>
    <row r="790" spans="1:24" ht="14.25" customHeight="1" x14ac:dyDescent="0.2">
      <c r="A790" s="79"/>
      <c r="B790" s="76"/>
      <c r="C790" s="76"/>
      <c r="D790" s="78"/>
      <c r="E790" s="77"/>
      <c r="F790" s="77"/>
      <c r="G790" s="77"/>
      <c r="H790" s="77"/>
      <c r="I790" s="77"/>
      <c r="J790" s="97"/>
      <c r="K790" s="1"/>
      <c r="L790" s="1"/>
      <c r="M790" s="1"/>
      <c r="N790" s="1"/>
      <c r="O790" s="1"/>
      <c r="P790" s="1"/>
      <c r="Q790" s="1"/>
      <c r="R790" s="1"/>
      <c r="S790" s="1"/>
      <c r="T790" s="1"/>
      <c r="U790" s="1"/>
      <c r="V790" s="1"/>
      <c r="W790" s="1"/>
      <c r="X790" s="1"/>
    </row>
    <row r="791" spans="1:24" ht="14.25" customHeight="1" x14ac:dyDescent="0.2">
      <c r="A791" s="79"/>
      <c r="B791" s="76"/>
      <c r="C791" s="76"/>
      <c r="D791" s="78"/>
      <c r="E791" s="77"/>
      <c r="F791" s="77"/>
      <c r="G791" s="77"/>
      <c r="H791" s="77"/>
      <c r="I791" s="77"/>
      <c r="J791" s="97"/>
      <c r="K791" s="1"/>
      <c r="L791" s="1"/>
      <c r="M791" s="1"/>
      <c r="N791" s="1"/>
      <c r="O791" s="1"/>
      <c r="P791" s="1"/>
      <c r="Q791" s="1"/>
      <c r="R791" s="1"/>
      <c r="S791" s="1"/>
      <c r="T791" s="1"/>
      <c r="U791" s="1"/>
      <c r="V791" s="1"/>
      <c r="W791" s="1"/>
      <c r="X791" s="1"/>
    </row>
    <row r="792" spans="1:24" ht="14.25" customHeight="1" x14ac:dyDescent="0.2">
      <c r="A792" s="79"/>
      <c r="B792" s="76"/>
      <c r="C792" s="76"/>
      <c r="D792" s="78"/>
      <c r="E792" s="77"/>
      <c r="F792" s="77"/>
      <c r="G792" s="77"/>
      <c r="H792" s="77"/>
      <c r="I792" s="77"/>
      <c r="J792" s="97"/>
      <c r="K792" s="1"/>
      <c r="L792" s="1"/>
      <c r="M792" s="1"/>
      <c r="N792" s="1"/>
      <c r="O792" s="1"/>
      <c r="P792" s="1"/>
      <c r="Q792" s="1"/>
      <c r="R792" s="1"/>
      <c r="S792" s="1"/>
      <c r="T792" s="1"/>
      <c r="U792" s="1"/>
      <c r="V792" s="1"/>
      <c r="W792" s="1"/>
      <c r="X792" s="1"/>
    </row>
    <row r="793" spans="1:24" ht="14.25" customHeight="1" x14ac:dyDescent="0.2">
      <c r="A793" s="79"/>
      <c r="B793" s="76"/>
      <c r="C793" s="76"/>
      <c r="D793" s="78"/>
      <c r="E793" s="77"/>
      <c r="F793" s="77"/>
      <c r="G793" s="77"/>
      <c r="H793" s="77"/>
      <c r="I793" s="77"/>
      <c r="J793" s="97"/>
      <c r="K793" s="1"/>
      <c r="L793" s="1"/>
      <c r="M793" s="1"/>
      <c r="N793" s="1"/>
      <c r="O793" s="1"/>
      <c r="P793" s="1"/>
      <c r="Q793" s="1"/>
      <c r="R793" s="1"/>
      <c r="S793" s="1"/>
      <c r="T793" s="1"/>
      <c r="U793" s="1"/>
      <c r="V793" s="1"/>
      <c r="W793" s="1"/>
      <c r="X793" s="1"/>
    </row>
    <row r="794" spans="1:24" ht="14.25" customHeight="1" x14ac:dyDescent="0.2">
      <c r="A794" s="79"/>
      <c r="B794" s="76"/>
      <c r="C794" s="76"/>
      <c r="D794" s="78"/>
      <c r="E794" s="77"/>
      <c r="F794" s="77"/>
      <c r="G794" s="77"/>
      <c r="H794" s="77"/>
      <c r="I794" s="77"/>
      <c r="J794" s="97"/>
      <c r="K794" s="1"/>
      <c r="L794" s="1"/>
      <c r="M794" s="1"/>
      <c r="N794" s="1"/>
      <c r="O794" s="1"/>
      <c r="P794" s="1"/>
      <c r="Q794" s="1"/>
      <c r="R794" s="1"/>
      <c r="S794" s="1"/>
      <c r="T794" s="1"/>
      <c r="U794" s="1"/>
      <c r="V794" s="1"/>
      <c r="W794" s="1"/>
      <c r="X794" s="1"/>
    </row>
    <row r="795" spans="1:24" ht="14.25" customHeight="1" x14ac:dyDescent="0.2">
      <c r="A795" s="79"/>
      <c r="B795" s="76"/>
      <c r="C795" s="76"/>
      <c r="D795" s="78"/>
      <c r="E795" s="77"/>
      <c r="F795" s="77"/>
      <c r="G795" s="77"/>
      <c r="H795" s="77"/>
      <c r="I795" s="77"/>
      <c r="J795" s="97"/>
      <c r="K795" s="1"/>
      <c r="L795" s="1"/>
      <c r="M795" s="1"/>
      <c r="N795" s="1"/>
      <c r="O795" s="1"/>
      <c r="P795" s="1"/>
      <c r="Q795" s="1"/>
      <c r="R795" s="1"/>
      <c r="S795" s="1"/>
      <c r="T795" s="1"/>
      <c r="U795" s="1"/>
      <c r="V795" s="1"/>
      <c r="W795" s="1"/>
      <c r="X795" s="1"/>
    </row>
    <row r="796" spans="1:24" ht="14.25" customHeight="1" x14ac:dyDescent="0.2">
      <c r="A796" s="79"/>
      <c r="B796" s="76"/>
      <c r="C796" s="76"/>
      <c r="D796" s="78"/>
      <c r="E796" s="77"/>
      <c r="F796" s="77"/>
      <c r="G796" s="77"/>
      <c r="H796" s="77"/>
      <c r="I796" s="77"/>
      <c r="J796" s="97"/>
      <c r="K796" s="1"/>
      <c r="L796" s="1"/>
      <c r="M796" s="1"/>
      <c r="N796" s="1"/>
      <c r="O796" s="1"/>
      <c r="P796" s="1"/>
      <c r="Q796" s="1"/>
      <c r="R796" s="1"/>
      <c r="S796" s="1"/>
      <c r="T796" s="1"/>
      <c r="U796" s="1"/>
      <c r="V796" s="1"/>
      <c r="W796" s="1"/>
      <c r="X796" s="1"/>
    </row>
    <row r="797" spans="1:24" ht="14.25" customHeight="1" x14ac:dyDescent="0.2">
      <c r="A797" s="79"/>
      <c r="B797" s="76"/>
      <c r="C797" s="76"/>
      <c r="D797" s="78"/>
      <c r="E797" s="77"/>
      <c r="F797" s="77"/>
      <c r="G797" s="77"/>
      <c r="H797" s="77"/>
      <c r="I797" s="77"/>
      <c r="J797" s="97"/>
      <c r="K797" s="1"/>
      <c r="L797" s="1"/>
      <c r="M797" s="1"/>
      <c r="N797" s="1"/>
      <c r="O797" s="1"/>
      <c r="P797" s="1"/>
      <c r="Q797" s="1"/>
      <c r="R797" s="1"/>
      <c r="S797" s="1"/>
      <c r="T797" s="1"/>
      <c r="U797" s="1"/>
      <c r="V797" s="1"/>
      <c r="W797" s="1"/>
      <c r="X797" s="1"/>
    </row>
    <row r="798" spans="1:24" ht="14.25" customHeight="1" x14ac:dyDescent="0.2">
      <c r="A798" s="79"/>
      <c r="B798" s="76"/>
      <c r="C798" s="76"/>
      <c r="D798" s="78"/>
      <c r="E798" s="77"/>
      <c r="F798" s="77"/>
      <c r="G798" s="77"/>
      <c r="H798" s="77"/>
      <c r="I798" s="77"/>
      <c r="J798" s="97"/>
      <c r="K798" s="1"/>
      <c r="L798" s="1"/>
      <c r="M798" s="1"/>
      <c r="N798" s="1"/>
      <c r="O798" s="1"/>
      <c r="P798" s="1"/>
      <c r="Q798" s="1"/>
      <c r="R798" s="1"/>
      <c r="S798" s="1"/>
      <c r="T798" s="1"/>
      <c r="U798" s="1"/>
      <c r="V798" s="1"/>
      <c r="W798" s="1"/>
      <c r="X798" s="1"/>
    </row>
    <row r="799" spans="1:24" ht="14.25" customHeight="1" x14ac:dyDescent="0.2">
      <c r="A799" s="79"/>
      <c r="B799" s="76"/>
      <c r="C799" s="76"/>
      <c r="D799" s="78"/>
      <c r="E799" s="77"/>
      <c r="F799" s="77"/>
      <c r="G799" s="77"/>
      <c r="H799" s="77"/>
      <c r="I799" s="77"/>
      <c r="J799" s="97"/>
      <c r="K799" s="1"/>
      <c r="L799" s="1"/>
      <c r="M799" s="1"/>
      <c r="N799" s="1"/>
      <c r="O799" s="1"/>
      <c r="P799" s="1"/>
      <c r="Q799" s="1"/>
      <c r="R799" s="1"/>
      <c r="S799" s="1"/>
      <c r="T799" s="1"/>
      <c r="U799" s="1"/>
      <c r="V799" s="1"/>
      <c r="W799" s="1"/>
      <c r="X799" s="1"/>
    </row>
    <row r="800" spans="1:24" ht="14.25" customHeight="1" x14ac:dyDescent="0.2">
      <c r="A800" s="79"/>
      <c r="B800" s="76"/>
      <c r="C800" s="76"/>
      <c r="D800" s="78"/>
      <c r="E800" s="77"/>
      <c r="F800" s="77"/>
      <c r="G800" s="77"/>
      <c r="H800" s="77"/>
      <c r="I800" s="77"/>
      <c r="J800" s="97"/>
      <c r="K800" s="1"/>
      <c r="L800" s="1"/>
      <c r="M800" s="1"/>
      <c r="N800" s="1"/>
      <c r="O800" s="1"/>
      <c r="P800" s="1"/>
      <c r="Q800" s="1"/>
      <c r="R800" s="1"/>
      <c r="S800" s="1"/>
      <c r="T800" s="1"/>
      <c r="U800" s="1"/>
      <c r="V800" s="1"/>
      <c r="W800" s="1"/>
      <c r="X800" s="1"/>
    </row>
    <row r="801" spans="1:24" ht="14.25" customHeight="1" x14ac:dyDescent="0.2">
      <c r="A801" s="79"/>
      <c r="B801" s="76"/>
      <c r="C801" s="76"/>
      <c r="D801" s="78"/>
      <c r="E801" s="77"/>
      <c r="F801" s="77"/>
      <c r="G801" s="77"/>
      <c r="H801" s="77"/>
      <c r="I801" s="77"/>
      <c r="J801" s="97"/>
      <c r="K801" s="1"/>
      <c r="L801" s="1"/>
      <c r="M801" s="1"/>
      <c r="N801" s="1"/>
      <c r="O801" s="1"/>
      <c r="P801" s="1"/>
      <c r="Q801" s="1"/>
      <c r="R801" s="1"/>
      <c r="S801" s="1"/>
      <c r="T801" s="1"/>
      <c r="U801" s="1"/>
      <c r="V801" s="1"/>
      <c r="W801" s="1"/>
      <c r="X801" s="1"/>
    </row>
    <row r="802" spans="1:24" ht="14.25" customHeight="1" x14ac:dyDescent="0.2">
      <c r="A802" s="79"/>
      <c r="B802" s="76"/>
      <c r="C802" s="76"/>
      <c r="D802" s="78"/>
      <c r="E802" s="77"/>
      <c r="F802" s="77"/>
      <c r="G802" s="77"/>
      <c r="H802" s="77"/>
      <c r="I802" s="77"/>
      <c r="J802" s="97"/>
      <c r="K802" s="1"/>
      <c r="L802" s="1"/>
      <c r="M802" s="1"/>
      <c r="N802" s="1"/>
      <c r="O802" s="1"/>
      <c r="P802" s="1"/>
      <c r="Q802" s="1"/>
      <c r="R802" s="1"/>
      <c r="S802" s="1"/>
      <c r="T802" s="1"/>
      <c r="U802" s="1"/>
      <c r="V802" s="1"/>
      <c r="W802" s="1"/>
      <c r="X802" s="1"/>
    </row>
    <row r="803" spans="1:24" ht="14.25" customHeight="1" x14ac:dyDescent="0.2">
      <c r="A803" s="79"/>
      <c r="B803" s="76"/>
      <c r="C803" s="76"/>
      <c r="D803" s="78"/>
      <c r="E803" s="77"/>
      <c r="F803" s="77"/>
      <c r="G803" s="77"/>
      <c r="H803" s="77"/>
      <c r="I803" s="77"/>
      <c r="J803" s="97"/>
      <c r="K803" s="1"/>
      <c r="L803" s="1"/>
      <c r="M803" s="1"/>
      <c r="N803" s="1"/>
      <c r="O803" s="1"/>
      <c r="P803" s="1"/>
      <c r="Q803" s="1"/>
      <c r="R803" s="1"/>
      <c r="S803" s="1"/>
      <c r="T803" s="1"/>
      <c r="U803" s="1"/>
      <c r="V803" s="1"/>
      <c r="W803" s="1"/>
      <c r="X803" s="1"/>
    </row>
    <row r="804" spans="1:24" ht="14.25" customHeight="1" x14ac:dyDescent="0.2">
      <c r="A804" s="79"/>
      <c r="B804" s="76"/>
      <c r="C804" s="76"/>
      <c r="D804" s="78"/>
      <c r="E804" s="77"/>
      <c r="F804" s="77"/>
      <c r="G804" s="77"/>
      <c r="H804" s="77"/>
      <c r="I804" s="77"/>
      <c r="J804" s="97"/>
      <c r="K804" s="1"/>
      <c r="L804" s="1"/>
      <c r="M804" s="1"/>
      <c r="N804" s="1"/>
      <c r="O804" s="1"/>
      <c r="P804" s="1"/>
      <c r="Q804" s="1"/>
      <c r="R804" s="1"/>
      <c r="S804" s="1"/>
      <c r="T804" s="1"/>
      <c r="U804" s="1"/>
      <c r="V804" s="1"/>
      <c r="W804" s="1"/>
      <c r="X804" s="1"/>
    </row>
    <row r="805" spans="1:24" ht="14.25" customHeight="1" x14ac:dyDescent="0.2">
      <c r="A805" s="79"/>
      <c r="B805" s="76"/>
      <c r="C805" s="76"/>
      <c r="D805" s="78"/>
      <c r="E805" s="77"/>
      <c r="F805" s="77"/>
      <c r="G805" s="77"/>
      <c r="H805" s="77"/>
      <c r="I805" s="77"/>
      <c r="J805" s="97"/>
      <c r="K805" s="1"/>
      <c r="L805" s="1"/>
      <c r="M805" s="1"/>
      <c r="N805" s="1"/>
      <c r="O805" s="1"/>
      <c r="P805" s="1"/>
      <c r="Q805" s="1"/>
      <c r="R805" s="1"/>
      <c r="S805" s="1"/>
      <c r="T805" s="1"/>
      <c r="U805" s="1"/>
      <c r="V805" s="1"/>
      <c r="W805" s="1"/>
      <c r="X805" s="1"/>
    </row>
    <row r="806" spans="1:24" ht="14.25" customHeight="1" x14ac:dyDescent="0.2">
      <c r="A806" s="79"/>
      <c r="B806" s="76"/>
      <c r="C806" s="76"/>
      <c r="D806" s="78"/>
      <c r="E806" s="77"/>
      <c r="F806" s="77"/>
      <c r="G806" s="77"/>
      <c r="H806" s="77"/>
      <c r="I806" s="77"/>
      <c r="J806" s="97"/>
      <c r="K806" s="1"/>
      <c r="L806" s="1"/>
      <c r="M806" s="1"/>
      <c r="N806" s="1"/>
      <c r="O806" s="1"/>
      <c r="P806" s="1"/>
      <c r="Q806" s="1"/>
      <c r="R806" s="1"/>
      <c r="S806" s="1"/>
      <c r="T806" s="1"/>
      <c r="U806" s="1"/>
      <c r="V806" s="1"/>
      <c r="W806" s="1"/>
      <c r="X806" s="1"/>
    </row>
    <row r="807" spans="1:24" ht="14.25" customHeight="1" x14ac:dyDescent="0.2">
      <c r="A807" s="79"/>
      <c r="B807" s="76"/>
      <c r="C807" s="76"/>
      <c r="D807" s="78"/>
      <c r="E807" s="77"/>
      <c r="F807" s="77"/>
      <c r="G807" s="77"/>
      <c r="H807" s="77"/>
      <c r="I807" s="77"/>
      <c r="J807" s="97"/>
      <c r="K807" s="1"/>
      <c r="L807" s="1"/>
      <c r="M807" s="1"/>
      <c r="N807" s="1"/>
      <c r="O807" s="1"/>
      <c r="P807" s="1"/>
      <c r="Q807" s="1"/>
      <c r="R807" s="1"/>
      <c r="S807" s="1"/>
      <c r="T807" s="1"/>
      <c r="U807" s="1"/>
      <c r="V807" s="1"/>
      <c r="W807" s="1"/>
      <c r="X807" s="1"/>
    </row>
    <row r="808" spans="1:24" ht="14.25" customHeight="1" x14ac:dyDescent="0.2">
      <c r="A808" s="79"/>
      <c r="B808" s="76"/>
      <c r="C808" s="76"/>
      <c r="D808" s="78"/>
      <c r="E808" s="77"/>
      <c r="F808" s="77"/>
      <c r="G808" s="77"/>
      <c r="H808" s="77"/>
      <c r="I808" s="77"/>
      <c r="J808" s="97"/>
      <c r="K808" s="1"/>
      <c r="L808" s="1"/>
      <c r="M808" s="1"/>
      <c r="N808" s="1"/>
      <c r="O808" s="1"/>
      <c r="P808" s="1"/>
      <c r="Q808" s="1"/>
      <c r="R808" s="1"/>
      <c r="S808" s="1"/>
      <c r="T808" s="1"/>
      <c r="U808" s="1"/>
      <c r="V808" s="1"/>
      <c r="W808" s="1"/>
      <c r="X808" s="1"/>
    </row>
    <row r="809" spans="1:24" ht="14.25" customHeight="1" x14ac:dyDescent="0.2">
      <c r="A809" s="79"/>
      <c r="B809" s="76"/>
      <c r="C809" s="76"/>
      <c r="D809" s="78"/>
      <c r="E809" s="77"/>
      <c r="F809" s="77"/>
      <c r="G809" s="77"/>
      <c r="H809" s="77"/>
      <c r="I809" s="77"/>
      <c r="J809" s="97"/>
      <c r="K809" s="1"/>
      <c r="L809" s="1"/>
      <c r="M809" s="1"/>
      <c r="N809" s="1"/>
      <c r="O809" s="1"/>
      <c r="P809" s="1"/>
      <c r="Q809" s="1"/>
      <c r="R809" s="1"/>
      <c r="S809" s="1"/>
      <c r="T809" s="1"/>
      <c r="U809" s="1"/>
      <c r="V809" s="1"/>
      <c r="W809" s="1"/>
      <c r="X809" s="1"/>
    </row>
    <row r="810" spans="1:24" ht="14.25" customHeight="1" x14ac:dyDescent="0.2">
      <c r="A810" s="79"/>
      <c r="B810" s="76"/>
      <c r="C810" s="76"/>
      <c r="D810" s="78"/>
      <c r="E810" s="77"/>
      <c r="F810" s="77"/>
      <c r="G810" s="77"/>
      <c r="H810" s="77"/>
      <c r="I810" s="77"/>
      <c r="J810" s="97"/>
      <c r="K810" s="1"/>
      <c r="L810" s="1"/>
      <c r="M810" s="1"/>
      <c r="N810" s="1"/>
      <c r="O810" s="1"/>
      <c r="P810" s="1"/>
      <c r="Q810" s="1"/>
      <c r="R810" s="1"/>
      <c r="S810" s="1"/>
      <c r="T810" s="1"/>
      <c r="U810" s="1"/>
      <c r="V810" s="1"/>
      <c r="W810" s="1"/>
      <c r="X810" s="1"/>
    </row>
    <row r="811" spans="1:24" ht="14.25" customHeight="1" x14ac:dyDescent="0.2">
      <c r="A811" s="79"/>
      <c r="B811" s="76"/>
      <c r="C811" s="76"/>
      <c r="D811" s="78"/>
      <c r="E811" s="77"/>
      <c r="F811" s="77"/>
      <c r="G811" s="77"/>
      <c r="H811" s="77"/>
      <c r="I811" s="77"/>
      <c r="J811" s="97"/>
      <c r="K811" s="1"/>
      <c r="L811" s="1"/>
      <c r="M811" s="1"/>
      <c r="N811" s="1"/>
      <c r="O811" s="1"/>
      <c r="P811" s="1"/>
      <c r="Q811" s="1"/>
      <c r="R811" s="1"/>
      <c r="S811" s="1"/>
      <c r="T811" s="1"/>
      <c r="U811" s="1"/>
      <c r="V811" s="1"/>
      <c r="W811" s="1"/>
      <c r="X811" s="1"/>
    </row>
    <row r="812" spans="1:24" ht="14.25" customHeight="1" x14ac:dyDescent="0.2">
      <c r="A812" s="79"/>
      <c r="B812" s="76"/>
      <c r="C812" s="76"/>
      <c r="D812" s="78"/>
      <c r="E812" s="77"/>
      <c r="F812" s="77"/>
      <c r="G812" s="77"/>
      <c r="H812" s="77"/>
      <c r="I812" s="77"/>
      <c r="J812" s="97"/>
      <c r="K812" s="1"/>
      <c r="L812" s="1"/>
      <c r="M812" s="1"/>
      <c r="N812" s="1"/>
      <c r="O812" s="1"/>
      <c r="P812" s="1"/>
      <c r="Q812" s="1"/>
      <c r="R812" s="1"/>
      <c r="S812" s="1"/>
      <c r="T812" s="1"/>
      <c r="U812" s="1"/>
      <c r="V812" s="1"/>
      <c r="W812" s="1"/>
      <c r="X812" s="1"/>
    </row>
    <row r="813" spans="1:24" ht="14.25" customHeight="1" x14ac:dyDescent="0.2">
      <c r="A813" s="79"/>
      <c r="B813" s="76"/>
      <c r="C813" s="76"/>
      <c r="D813" s="78"/>
      <c r="E813" s="77"/>
      <c r="F813" s="77"/>
      <c r="G813" s="77"/>
      <c r="H813" s="77"/>
      <c r="I813" s="77"/>
      <c r="J813" s="97"/>
      <c r="K813" s="1"/>
      <c r="L813" s="1"/>
      <c r="M813" s="1"/>
      <c r="N813" s="1"/>
      <c r="O813" s="1"/>
      <c r="P813" s="1"/>
      <c r="Q813" s="1"/>
      <c r="R813" s="1"/>
      <c r="S813" s="1"/>
      <c r="T813" s="1"/>
      <c r="U813" s="1"/>
      <c r="V813" s="1"/>
      <c r="W813" s="1"/>
      <c r="X813" s="1"/>
    </row>
    <row r="814" spans="1:24" ht="14.25" customHeight="1" x14ac:dyDescent="0.2">
      <c r="A814" s="79"/>
      <c r="B814" s="76"/>
      <c r="C814" s="76"/>
      <c r="D814" s="78"/>
      <c r="E814" s="77"/>
      <c r="F814" s="77"/>
      <c r="G814" s="77"/>
      <c r="H814" s="77"/>
      <c r="I814" s="77"/>
      <c r="J814" s="97"/>
      <c r="K814" s="1"/>
      <c r="L814" s="1"/>
      <c r="M814" s="1"/>
      <c r="N814" s="1"/>
      <c r="O814" s="1"/>
      <c r="P814" s="1"/>
      <c r="Q814" s="1"/>
      <c r="R814" s="1"/>
      <c r="S814" s="1"/>
      <c r="T814" s="1"/>
      <c r="U814" s="1"/>
      <c r="V814" s="1"/>
      <c r="W814" s="1"/>
      <c r="X814" s="1"/>
    </row>
    <row r="815" spans="1:24" ht="14.25" customHeight="1" x14ac:dyDescent="0.2">
      <c r="A815" s="79"/>
      <c r="B815" s="76"/>
      <c r="C815" s="76"/>
      <c r="D815" s="78"/>
      <c r="E815" s="77"/>
      <c r="F815" s="77"/>
      <c r="G815" s="77"/>
      <c r="H815" s="77"/>
      <c r="I815" s="77"/>
      <c r="J815" s="97"/>
      <c r="K815" s="1"/>
      <c r="L815" s="1"/>
      <c r="M815" s="1"/>
      <c r="N815" s="1"/>
      <c r="O815" s="1"/>
      <c r="P815" s="1"/>
      <c r="Q815" s="1"/>
      <c r="R815" s="1"/>
      <c r="S815" s="1"/>
      <c r="T815" s="1"/>
      <c r="U815" s="1"/>
      <c r="V815" s="1"/>
      <c r="W815" s="1"/>
      <c r="X815" s="1"/>
    </row>
    <row r="816" spans="1:24" ht="14.25" customHeight="1" x14ac:dyDescent="0.2">
      <c r="A816" s="79"/>
      <c r="B816" s="76"/>
      <c r="C816" s="76"/>
      <c r="D816" s="78"/>
      <c r="E816" s="77"/>
      <c r="F816" s="77"/>
      <c r="G816" s="77"/>
      <c r="H816" s="77"/>
      <c r="I816" s="77"/>
      <c r="J816" s="97"/>
      <c r="K816" s="1"/>
      <c r="L816" s="1"/>
      <c r="M816" s="1"/>
      <c r="N816" s="1"/>
      <c r="O816" s="1"/>
      <c r="P816" s="1"/>
      <c r="Q816" s="1"/>
      <c r="R816" s="1"/>
      <c r="S816" s="1"/>
      <c r="T816" s="1"/>
      <c r="U816" s="1"/>
      <c r="V816" s="1"/>
      <c r="W816" s="1"/>
      <c r="X816" s="1"/>
    </row>
    <row r="817" spans="1:24" ht="14.25" customHeight="1" x14ac:dyDescent="0.2">
      <c r="A817" s="79"/>
      <c r="B817" s="76"/>
      <c r="C817" s="76"/>
      <c r="D817" s="78"/>
      <c r="E817" s="77"/>
      <c r="F817" s="77"/>
      <c r="G817" s="77"/>
      <c r="H817" s="77"/>
      <c r="I817" s="77"/>
      <c r="J817" s="97"/>
      <c r="K817" s="1"/>
      <c r="L817" s="1"/>
      <c r="M817" s="1"/>
      <c r="N817" s="1"/>
      <c r="O817" s="1"/>
      <c r="P817" s="1"/>
      <c r="Q817" s="1"/>
      <c r="R817" s="1"/>
      <c r="S817" s="1"/>
      <c r="T817" s="1"/>
      <c r="U817" s="1"/>
      <c r="V817" s="1"/>
      <c r="W817" s="1"/>
      <c r="X817" s="1"/>
    </row>
    <row r="818" spans="1:24" ht="14.25" customHeight="1" x14ac:dyDescent="0.2">
      <c r="A818" s="79"/>
      <c r="B818" s="76"/>
      <c r="C818" s="76"/>
      <c r="D818" s="78"/>
      <c r="E818" s="77"/>
      <c r="F818" s="77"/>
      <c r="G818" s="77"/>
      <c r="H818" s="77"/>
      <c r="I818" s="77"/>
      <c r="J818" s="97"/>
      <c r="K818" s="1"/>
      <c r="L818" s="1"/>
      <c r="M818" s="1"/>
      <c r="N818" s="1"/>
      <c r="O818" s="1"/>
      <c r="P818" s="1"/>
      <c r="Q818" s="1"/>
      <c r="R818" s="1"/>
      <c r="S818" s="1"/>
      <c r="T818" s="1"/>
      <c r="U818" s="1"/>
      <c r="V818" s="1"/>
      <c r="W818" s="1"/>
      <c r="X818" s="1"/>
    </row>
    <row r="819" spans="1:24" ht="14.25" customHeight="1" x14ac:dyDescent="0.2">
      <c r="A819" s="79"/>
      <c r="B819" s="76"/>
      <c r="C819" s="76"/>
      <c r="D819" s="78"/>
      <c r="E819" s="77"/>
      <c r="F819" s="77"/>
      <c r="G819" s="77"/>
      <c r="H819" s="77"/>
      <c r="I819" s="77"/>
      <c r="J819" s="97"/>
      <c r="K819" s="1"/>
      <c r="L819" s="1"/>
      <c r="M819" s="1"/>
      <c r="N819" s="1"/>
      <c r="O819" s="1"/>
      <c r="P819" s="1"/>
      <c r="Q819" s="1"/>
      <c r="R819" s="1"/>
      <c r="S819" s="1"/>
      <c r="T819" s="1"/>
      <c r="U819" s="1"/>
      <c r="V819" s="1"/>
      <c r="W819" s="1"/>
      <c r="X819" s="1"/>
    </row>
    <row r="820" spans="1:24" ht="14.25" customHeight="1" x14ac:dyDescent="0.2">
      <c r="A820" s="79"/>
      <c r="B820" s="76"/>
      <c r="C820" s="76"/>
      <c r="D820" s="78"/>
      <c r="E820" s="77"/>
      <c r="F820" s="77"/>
      <c r="G820" s="77"/>
      <c r="H820" s="77"/>
      <c r="I820" s="77"/>
      <c r="J820" s="97"/>
      <c r="K820" s="1"/>
      <c r="L820" s="1"/>
      <c r="M820" s="1"/>
      <c r="N820" s="1"/>
      <c r="O820" s="1"/>
      <c r="P820" s="1"/>
      <c r="Q820" s="1"/>
      <c r="R820" s="1"/>
      <c r="S820" s="1"/>
      <c r="T820" s="1"/>
      <c r="U820" s="1"/>
      <c r="V820" s="1"/>
      <c r="W820" s="1"/>
      <c r="X820" s="1"/>
    </row>
    <row r="821" spans="1:24" ht="14.25" customHeight="1" x14ac:dyDescent="0.2">
      <c r="A821" s="79"/>
      <c r="B821" s="76"/>
      <c r="C821" s="76"/>
      <c r="D821" s="78"/>
      <c r="E821" s="77"/>
      <c r="F821" s="77"/>
      <c r="G821" s="77"/>
      <c r="H821" s="77"/>
      <c r="I821" s="77"/>
      <c r="J821" s="97"/>
      <c r="K821" s="1"/>
      <c r="L821" s="1"/>
      <c r="M821" s="1"/>
      <c r="N821" s="1"/>
      <c r="O821" s="1"/>
      <c r="P821" s="1"/>
      <c r="Q821" s="1"/>
      <c r="R821" s="1"/>
      <c r="S821" s="1"/>
      <c r="T821" s="1"/>
      <c r="U821" s="1"/>
      <c r="V821" s="1"/>
      <c r="W821" s="1"/>
      <c r="X821" s="1"/>
    </row>
    <row r="822" spans="1:24" ht="14.25" customHeight="1" x14ac:dyDescent="0.2">
      <c r="A822" s="79"/>
      <c r="B822" s="76"/>
      <c r="C822" s="76"/>
      <c r="D822" s="78"/>
      <c r="E822" s="77"/>
      <c r="F822" s="77"/>
      <c r="G822" s="77"/>
      <c r="H822" s="77"/>
      <c r="I822" s="77"/>
      <c r="J822" s="97"/>
      <c r="K822" s="1"/>
      <c r="L822" s="1"/>
      <c r="M822" s="1"/>
      <c r="N822" s="1"/>
      <c r="O822" s="1"/>
      <c r="P822" s="1"/>
      <c r="Q822" s="1"/>
      <c r="R822" s="1"/>
      <c r="S822" s="1"/>
      <c r="T822" s="1"/>
      <c r="U822" s="1"/>
      <c r="V822" s="1"/>
      <c r="W822" s="1"/>
      <c r="X822" s="1"/>
    </row>
    <row r="823" spans="1:24" ht="14.25" customHeight="1" x14ac:dyDescent="0.2">
      <c r="A823" s="79"/>
      <c r="B823" s="76"/>
      <c r="C823" s="76"/>
      <c r="D823" s="78"/>
      <c r="E823" s="77"/>
      <c r="F823" s="77"/>
      <c r="G823" s="77"/>
      <c r="H823" s="77"/>
      <c r="I823" s="77"/>
      <c r="J823" s="97"/>
      <c r="K823" s="1"/>
      <c r="L823" s="1"/>
      <c r="M823" s="1"/>
      <c r="N823" s="1"/>
      <c r="O823" s="1"/>
      <c r="P823" s="1"/>
      <c r="Q823" s="1"/>
      <c r="R823" s="1"/>
      <c r="S823" s="1"/>
      <c r="T823" s="1"/>
      <c r="U823" s="1"/>
      <c r="V823" s="1"/>
      <c r="W823" s="1"/>
      <c r="X823" s="1"/>
    </row>
    <row r="824" spans="1:24" ht="14.25" customHeight="1" x14ac:dyDescent="0.2">
      <c r="A824" s="79"/>
      <c r="B824" s="76"/>
      <c r="C824" s="76"/>
      <c r="D824" s="78"/>
      <c r="E824" s="77"/>
      <c r="F824" s="77"/>
      <c r="G824" s="77"/>
      <c r="H824" s="77"/>
      <c r="I824" s="77"/>
      <c r="J824" s="97"/>
      <c r="K824" s="1"/>
      <c r="L824" s="1"/>
      <c r="M824" s="1"/>
      <c r="N824" s="1"/>
      <c r="O824" s="1"/>
      <c r="P824" s="1"/>
      <c r="Q824" s="1"/>
      <c r="R824" s="1"/>
      <c r="S824" s="1"/>
      <c r="T824" s="1"/>
      <c r="U824" s="1"/>
      <c r="V824" s="1"/>
      <c r="W824" s="1"/>
      <c r="X824" s="1"/>
    </row>
    <row r="825" spans="1:24" ht="14.25" customHeight="1" x14ac:dyDescent="0.2">
      <c r="A825" s="79"/>
      <c r="B825" s="76"/>
      <c r="C825" s="76"/>
      <c r="D825" s="78"/>
      <c r="E825" s="77"/>
      <c r="F825" s="77"/>
      <c r="G825" s="77"/>
      <c r="H825" s="77"/>
      <c r="I825" s="77"/>
      <c r="J825" s="97"/>
      <c r="K825" s="1"/>
      <c r="L825" s="1"/>
      <c r="M825" s="1"/>
      <c r="N825" s="1"/>
      <c r="O825" s="1"/>
      <c r="P825" s="1"/>
      <c r="Q825" s="1"/>
      <c r="R825" s="1"/>
      <c r="S825" s="1"/>
      <c r="T825" s="1"/>
      <c r="U825" s="1"/>
      <c r="V825" s="1"/>
      <c r="W825" s="1"/>
      <c r="X825" s="1"/>
    </row>
    <row r="826" spans="1:24" ht="14.25" customHeight="1" x14ac:dyDescent="0.2">
      <c r="A826" s="79"/>
      <c r="B826" s="76"/>
      <c r="C826" s="76"/>
      <c r="D826" s="78"/>
      <c r="E826" s="77"/>
      <c r="F826" s="77"/>
      <c r="G826" s="77"/>
      <c r="H826" s="77"/>
      <c r="I826" s="77"/>
      <c r="J826" s="97"/>
      <c r="K826" s="1"/>
      <c r="L826" s="1"/>
      <c r="M826" s="1"/>
      <c r="N826" s="1"/>
      <c r="O826" s="1"/>
      <c r="P826" s="1"/>
      <c r="Q826" s="1"/>
      <c r="R826" s="1"/>
      <c r="S826" s="1"/>
      <c r="T826" s="1"/>
      <c r="U826" s="1"/>
      <c r="V826" s="1"/>
      <c r="W826" s="1"/>
      <c r="X826" s="1"/>
    </row>
    <row r="827" spans="1:24" ht="14.25" customHeight="1" x14ac:dyDescent="0.2">
      <c r="A827" s="79"/>
      <c r="B827" s="76"/>
      <c r="C827" s="76"/>
      <c r="D827" s="78"/>
      <c r="E827" s="77"/>
      <c r="F827" s="77"/>
      <c r="G827" s="77"/>
      <c r="H827" s="77"/>
      <c r="I827" s="77"/>
      <c r="J827" s="97"/>
      <c r="K827" s="1"/>
      <c r="L827" s="1"/>
      <c r="M827" s="1"/>
      <c r="N827" s="1"/>
      <c r="O827" s="1"/>
      <c r="P827" s="1"/>
      <c r="Q827" s="1"/>
      <c r="R827" s="1"/>
      <c r="S827" s="1"/>
      <c r="T827" s="1"/>
      <c r="U827" s="1"/>
      <c r="V827" s="1"/>
      <c r="W827" s="1"/>
      <c r="X827" s="1"/>
    </row>
    <row r="828" spans="1:24" ht="14.25" customHeight="1" x14ac:dyDescent="0.2">
      <c r="A828" s="79"/>
      <c r="B828" s="76"/>
      <c r="C828" s="76"/>
      <c r="D828" s="78"/>
      <c r="E828" s="77"/>
      <c r="F828" s="77"/>
      <c r="G828" s="77"/>
      <c r="H828" s="77"/>
      <c r="I828" s="77"/>
      <c r="J828" s="97"/>
      <c r="K828" s="1"/>
      <c r="L828" s="1"/>
      <c r="M828" s="1"/>
      <c r="N828" s="1"/>
      <c r="O828" s="1"/>
      <c r="P828" s="1"/>
      <c r="Q828" s="1"/>
      <c r="R828" s="1"/>
      <c r="S828" s="1"/>
      <c r="T828" s="1"/>
      <c r="U828" s="1"/>
      <c r="V828" s="1"/>
      <c r="W828" s="1"/>
      <c r="X828" s="1"/>
    </row>
    <row r="829" spans="1:24" ht="14.25" customHeight="1" x14ac:dyDescent="0.2">
      <c r="A829" s="79"/>
      <c r="B829" s="76"/>
      <c r="C829" s="76"/>
      <c r="D829" s="78"/>
      <c r="E829" s="77"/>
      <c r="F829" s="77"/>
      <c r="G829" s="77"/>
      <c r="H829" s="77"/>
      <c r="I829" s="77"/>
      <c r="J829" s="97"/>
      <c r="K829" s="1"/>
      <c r="L829" s="1"/>
      <c r="M829" s="1"/>
      <c r="N829" s="1"/>
      <c r="O829" s="1"/>
      <c r="P829" s="1"/>
      <c r="Q829" s="1"/>
      <c r="R829" s="1"/>
      <c r="S829" s="1"/>
      <c r="T829" s="1"/>
      <c r="U829" s="1"/>
      <c r="V829" s="1"/>
      <c r="W829" s="1"/>
      <c r="X829" s="1"/>
    </row>
    <row r="830" spans="1:24" ht="14.25" customHeight="1" x14ac:dyDescent="0.2">
      <c r="A830" s="79"/>
      <c r="B830" s="76"/>
      <c r="C830" s="76"/>
      <c r="D830" s="78"/>
      <c r="E830" s="77"/>
      <c r="F830" s="77"/>
      <c r="G830" s="77"/>
      <c r="H830" s="77"/>
      <c r="I830" s="77"/>
      <c r="J830" s="97"/>
      <c r="K830" s="1"/>
      <c r="L830" s="1"/>
      <c r="M830" s="1"/>
      <c r="N830" s="1"/>
      <c r="O830" s="1"/>
      <c r="P830" s="1"/>
      <c r="Q830" s="1"/>
      <c r="R830" s="1"/>
      <c r="S830" s="1"/>
      <c r="T830" s="1"/>
      <c r="U830" s="1"/>
      <c r="V830" s="1"/>
      <c r="W830" s="1"/>
      <c r="X830" s="1"/>
    </row>
    <row r="831" spans="1:24" ht="14.25" customHeight="1" x14ac:dyDescent="0.2">
      <c r="A831" s="79"/>
      <c r="B831" s="76"/>
      <c r="C831" s="76"/>
      <c r="D831" s="78"/>
      <c r="E831" s="77"/>
      <c r="F831" s="77"/>
      <c r="G831" s="77"/>
      <c r="H831" s="77"/>
      <c r="I831" s="77"/>
      <c r="J831" s="97"/>
      <c r="K831" s="1"/>
      <c r="L831" s="1"/>
      <c r="M831" s="1"/>
      <c r="N831" s="1"/>
      <c r="O831" s="1"/>
      <c r="P831" s="1"/>
      <c r="Q831" s="1"/>
      <c r="R831" s="1"/>
      <c r="S831" s="1"/>
      <c r="T831" s="1"/>
      <c r="U831" s="1"/>
      <c r="V831" s="1"/>
      <c r="W831" s="1"/>
      <c r="X831" s="1"/>
    </row>
    <row r="832" spans="1:24" ht="14.25" customHeight="1" x14ac:dyDescent="0.2">
      <c r="A832" s="79"/>
      <c r="B832" s="76"/>
      <c r="C832" s="76"/>
      <c r="D832" s="78"/>
      <c r="E832" s="77"/>
      <c r="F832" s="77"/>
      <c r="G832" s="77"/>
      <c r="H832" s="77"/>
      <c r="I832" s="77"/>
      <c r="J832" s="97"/>
      <c r="K832" s="1"/>
      <c r="L832" s="1"/>
      <c r="M832" s="1"/>
      <c r="N832" s="1"/>
      <c r="O832" s="1"/>
      <c r="P832" s="1"/>
      <c r="Q832" s="1"/>
      <c r="R832" s="1"/>
      <c r="S832" s="1"/>
      <c r="T832" s="1"/>
      <c r="U832" s="1"/>
      <c r="V832" s="1"/>
      <c r="W832" s="1"/>
      <c r="X832" s="1"/>
    </row>
    <row r="833" spans="1:24" ht="14.25" customHeight="1" x14ac:dyDescent="0.2">
      <c r="A833" s="79"/>
      <c r="B833" s="76"/>
      <c r="C833" s="76"/>
      <c r="D833" s="78"/>
      <c r="E833" s="77"/>
      <c r="F833" s="77"/>
      <c r="G833" s="77"/>
      <c r="H833" s="77"/>
      <c r="I833" s="77"/>
      <c r="J833" s="97"/>
      <c r="K833" s="1"/>
      <c r="L833" s="1"/>
      <c r="M833" s="1"/>
      <c r="N833" s="1"/>
      <c r="O833" s="1"/>
      <c r="P833" s="1"/>
      <c r="Q833" s="1"/>
      <c r="R833" s="1"/>
      <c r="S833" s="1"/>
      <c r="T833" s="1"/>
      <c r="U833" s="1"/>
      <c r="V833" s="1"/>
      <c r="W833" s="1"/>
      <c r="X833" s="1"/>
    </row>
    <row r="834" spans="1:24" ht="14.25" customHeight="1" x14ac:dyDescent="0.2">
      <c r="A834" s="79"/>
      <c r="B834" s="76"/>
      <c r="C834" s="76"/>
      <c r="D834" s="78"/>
      <c r="E834" s="77"/>
      <c r="F834" s="77"/>
      <c r="G834" s="77"/>
      <c r="H834" s="77"/>
      <c r="I834" s="77"/>
      <c r="J834" s="97"/>
      <c r="K834" s="1"/>
      <c r="L834" s="1"/>
      <c r="M834" s="1"/>
      <c r="N834" s="1"/>
      <c r="O834" s="1"/>
      <c r="P834" s="1"/>
      <c r="Q834" s="1"/>
      <c r="R834" s="1"/>
      <c r="S834" s="1"/>
      <c r="T834" s="1"/>
      <c r="U834" s="1"/>
      <c r="V834" s="1"/>
      <c r="W834" s="1"/>
      <c r="X834" s="1"/>
    </row>
    <row r="835" spans="1:24" ht="14.25" customHeight="1" x14ac:dyDescent="0.2">
      <c r="A835" s="79"/>
      <c r="B835" s="76"/>
      <c r="C835" s="76"/>
      <c r="D835" s="78"/>
      <c r="E835" s="77"/>
      <c r="F835" s="77"/>
      <c r="G835" s="77"/>
      <c r="H835" s="77"/>
      <c r="I835" s="77"/>
      <c r="J835" s="97"/>
      <c r="K835" s="1"/>
      <c r="L835" s="1"/>
      <c r="M835" s="1"/>
      <c r="N835" s="1"/>
      <c r="O835" s="1"/>
      <c r="P835" s="1"/>
      <c r="Q835" s="1"/>
      <c r="R835" s="1"/>
      <c r="S835" s="1"/>
      <c r="T835" s="1"/>
      <c r="U835" s="1"/>
      <c r="V835" s="1"/>
      <c r="W835" s="1"/>
      <c r="X835" s="1"/>
    </row>
    <row r="836" spans="1:24" ht="14.25" customHeight="1" x14ac:dyDescent="0.2">
      <c r="A836" s="79"/>
      <c r="B836" s="76"/>
      <c r="C836" s="76"/>
      <c r="D836" s="78"/>
      <c r="E836" s="77"/>
      <c r="F836" s="77"/>
      <c r="G836" s="77"/>
      <c r="H836" s="77"/>
      <c r="I836" s="77"/>
      <c r="J836" s="97"/>
      <c r="K836" s="1"/>
      <c r="L836" s="1"/>
      <c r="M836" s="1"/>
      <c r="N836" s="1"/>
      <c r="O836" s="1"/>
      <c r="P836" s="1"/>
      <c r="Q836" s="1"/>
      <c r="R836" s="1"/>
      <c r="S836" s="1"/>
      <c r="T836" s="1"/>
      <c r="U836" s="1"/>
      <c r="V836" s="1"/>
      <c r="W836" s="1"/>
      <c r="X836" s="1"/>
    </row>
    <row r="837" spans="1:24" ht="14.25" customHeight="1" x14ac:dyDescent="0.2">
      <c r="A837" s="79"/>
      <c r="B837" s="76"/>
      <c r="C837" s="76"/>
      <c r="D837" s="78"/>
      <c r="E837" s="77"/>
      <c r="F837" s="77"/>
      <c r="G837" s="77"/>
      <c r="H837" s="77"/>
      <c r="I837" s="77"/>
      <c r="J837" s="97"/>
      <c r="K837" s="1"/>
      <c r="L837" s="1"/>
      <c r="M837" s="1"/>
      <c r="N837" s="1"/>
      <c r="O837" s="1"/>
      <c r="P837" s="1"/>
      <c r="Q837" s="1"/>
      <c r="R837" s="1"/>
      <c r="S837" s="1"/>
      <c r="T837" s="1"/>
      <c r="U837" s="1"/>
      <c r="V837" s="1"/>
      <c r="W837" s="1"/>
      <c r="X837" s="1"/>
    </row>
    <row r="838" spans="1:24" ht="14.25" customHeight="1" x14ac:dyDescent="0.2">
      <c r="A838" s="79"/>
      <c r="B838" s="76"/>
      <c r="C838" s="76"/>
      <c r="D838" s="78"/>
      <c r="E838" s="77"/>
      <c r="F838" s="77"/>
      <c r="G838" s="77"/>
      <c r="H838" s="77"/>
      <c r="I838" s="77"/>
      <c r="J838" s="97"/>
      <c r="K838" s="1"/>
      <c r="L838" s="1"/>
      <c r="M838" s="1"/>
      <c r="N838" s="1"/>
      <c r="O838" s="1"/>
      <c r="P838" s="1"/>
      <c r="Q838" s="1"/>
      <c r="R838" s="1"/>
      <c r="S838" s="1"/>
      <c r="T838" s="1"/>
      <c r="U838" s="1"/>
      <c r="V838" s="1"/>
      <c r="W838" s="1"/>
      <c r="X838" s="1"/>
    </row>
    <row r="839" spans="1:24" ht="14.25" customHeight="1" x14ac:dyDescent="0.2">
      <c r="A839" s="79"/>
      <c r="B839" s="76"/>
      <c r="C839" s="76"/>
      <c r="D839" s="78"/>
      <c r="E839" s="77"/>
      <c r="F839" s="77"/>
      <c r="G839" s="77"/>
      <c r="H839" s="77"/>
      <c r="I839" s="77"/>
      <c r="J839" s="97"/>
      <c r="K839" s="1"/>
      <c r="L839" s="1"/>
      <c r="M839" s="1"/>
      <c r="N839" s="1"/>
      <c r="O839" s="1"/>
      <c r="P839" s="1"/>
      <c r="Q839" s="1"/>
      <c r="R839" s="1"/>
      <c r="S839" s="1"/>
      <c r="T839" s="1"/>
      <c r="U839" s="1"/>
      <c r="V839" s="1"/>
      <c r="W839" s="1"/>
      <c r="X839" s="1"/>
    </row>
    <row r="840" spans="1:24" ht="14.25" customHeight="1" x14ac:dyDescent="0.2">
      <c r="A840" s="79"/>
      <c r="B840" s="76"/>
      <c r="C840" s="76"/>
      <c r="D840" s="78"/>
      <c r="E840" s="77"/>
      <c r="F840" s="77"/>
      <c r="G840" s="77"/>
      <c r="H840" s="77"/>
      <c r="I840" s="77"/>
      <c r="J840" s="97"/>
      <c r="K840" s="1"/>
      <c r="L840" s="1"/>
      <c r="M840" s="1"/>
      <c r="N840" s="1"/>
      <c r="O840" s="1"/>
      <c r="P840" s="1"/>
      <c r="Q840" s="1"/>
      <c r="R840" s="1"/>
      <c r="S840" s="1"/>
      <c r="T840" s="1"/>
      <c r="U840" s="1"/>
      <c r="V840" s="1"/>
      <c r="W840" s="1"/>
      <c r="X840" s="1"/>
    </row>
    <row r="841" spans="1:24" ht="14.25" customHeight="1" x14ac:dyDescent="0.2">
      <c r="A841" s="79"/>
      <c r="B841" s="76"/>
      <c r="C841" s="76"/>
      <c r="D841" s="78"/>
      <c r="E841" s="77"/>
      <c r="F841" s="77"/>
      <c r="G841" s="77"/>
      <c r="H841" s="77"/>
      <c r="I841" s="77"/>
      <c r="J841" s="97"/>
      <c r="K841" s="1"/>
      <c r="L841" s="1"/>
      <c r="M841" s="1"/>
      <c r="N841" s="1"/>
      <c r="O841" s="1"/>
      <c r="P841" s="1"/>
      <c r="Q841" s="1"/>
      <c r="R841" s="1"/>
      <c r="S841" s="1"/>
      <c r="T841" s="1"/>
      <c r="U841" s="1"/>
      <c r="V841" s="1"/>
      <c r="W841" s="1"/>
      <c r="X841" s="1"/>
    </row>
    <row r="842" spans="1:24" ht="14.25" customHeight="1" x14ac:dyDescent="0.2">
      <c r="A842" s="79"/>
      <c r="B842" s="76"/>
      <c r="C842" s="76"/>
      <c r="D842" s="78"/>
      <c r="E842" s="77"/>
      <c r="F842" s="77"/>
      <c r="G842" s="77"/>
      <c r="H842" s="77"/>
      <c r="I842" s="77"/>
      <c r="J842" s="97"/>
      <c r="K842" s="1"/>
      <c r="L842" s="1"/>
      <c r="M842" s="1"/>
      <c r="N842" s="1"/>
      <c r="O842" s="1"/>
      <c r="P842" s="1"/>
      <c r="Q842" s="1"/>
      <c r="R842" s="1"/>
      <c r="S842" s="1"/>
      <c r="T842" s="1"/>
      <c r="U842" s="1"/>
      <c r="V842" s="1"/>
      <c r="W842" s="1"/>
      <c r="X842" s="1"/>
    </row>
    <row r="843" spans="1:24" ht="14.25" customHeight="1" x14ac:dyDescent="0.2">
      <c r="A843" s="79"/>
      <c r="B843" s="76"/>
      <c r="C843" s="76"/>
      <c r="D843" s="78"/>
      <c r="E843" s="77"/>
      <c r="F843" s="77"/>
      <c r="G843" s="77"/>
      <c r="H843" s="77"/>
      <c r="I843" s="77"/>
      <c r="J843" s="97"/>
      <c r="K843" s="1"/>
      <c r="L843" s="1"/>
      <c r="M843" s="1"/>
      <c r="N843" s="1"/>
      <c r="O843" s="1"/>
      <c r="P843" s="1"/>
      <c r="Q843" s="1"/>
      <c r="R843" s="1"/>
      <c r="S843" s="1"/>
      <c r="T843" s="1"/>
      <c r="U843" s="1"/>
      <c r="V843" s="1"/>
      <c r="W843" s="1"/>
      <c r="X843" s="1"/>
    </row>
    <row r="844" spans="1:24" ht="14.25" customHeight="1" x14ac:dyDescent="0.2">
      <c r="A844" s="79"/>
      <c r="B844" s="76"/>
      <c r="C844" s="76"/>
      <c r="D844" s="78"/>
      <c r="E844" s="77"/>
      <c r="F844" s="77"/>
      <c r="G844" s="77"/>
      <c r="H844" s="77"/>
      <c r="I844" s="77"/>
      <c r="J844" s="97"/>
      <c r="K844" s="1"/>
      <c r="L844" s="1"/>
      <c r="M844" s="1"/>
      <c r="N844" s="1"/>
      <c r="O844" s="1"/>
      <c r="P844" s="1"/>
      <c r="Q844" s="1"/>
      <c r="R844" s="1"/>
      <c r="S844" s="1"/>
      <c r="T844" s="1"/>
      <c r="U844" s="1"/>
      <c r="V844" s="1"/>
      <c r="W844" s="1"/>
      <c r="X844" s="1"/>
    </row>
    <row r="845" spans="1:24" ht="14.25" customHeight="1" x14ac:dyDescent="0.2">
      <c r="A845" s="79"/>
      <c r="B845" s="76"/>
      <c r="C845" s="76"/>
      <c r="D845" s="78"/>
      <c r="E845" s="77"/>
      <c r="F845" s="77"/>
      <c r="G845" s="77"/>
      <c r="H845" s="77"/>
      <c r="I845" s="77"/>
      <c r="J845" s="97"/>
      <c r="K845" s="1"/>
      <c r="L845" s="1"/>
      <c r="M845" s="1"/>
      <c r="N845" s="1"/>
      <c r="O845" s="1"/>
      <c r="P845" s="1"/>
      <c r="Q845" s="1"/>
      <c r="R845" s="1"/>
      <c r="S845" s="1"/>
      <c r="T845" s="1"/>
      <c r="U845" s="1"/>
      <c r="V845" s="1"/>
      <c r="W845" s="1"/>
      <c r="X845" s="1"/>
    </row>
    <row r="846" spans="1:24" ht="14.25" customHeight="1" x14ac:dyDescent="0.2">
      <c r="A846" s="79"/>
      <c r="B846" s="76"/>
      <c r="C846" s="76"/>
      <c r="D846" s="78"/>
      <c r="E846" s="77"/>
      <c r="F846" s="77"/>
      <c r="G846" s="77"/>
      <c r="H846" s="77"/>
      <c r="I846" s="77"/>
      <c r="J846" s="97"/>
      <c r="K846" s="1"/>
      <c r="L846" s="1"/>
      <c r="M846" s="1"/>
      <c r="N846" s="1"/>
      <c r="O846" s="1"/>
      <c r="P846" s="1"/>
      <c r="Q846" s="1"/>
      <c r="R846" s="1"/>
      <c r="S846" s="1"/>
      <c r="T846" s="1"/>
      <c r="U846" s="1"/>
      <c r="V846" s="1"/>
      <c r="W846" s="1"/>
      <c r="X846" s="1"/>
    </row>
    <row r="847" spans="1:24" ht="14.25" customHeight="1" x14ac:dyDescent="0.2">
      <c r="A847" s="79"/>
      <c r="B847" s="76"/>
      <c r="C847" s="76"/>
      <c r="D847" s="78"/>
      <c r="E847" s="77"/>
      <c r="F847" s="77"/>
      <c r="G847" s="77"/>
      <c r="H847" s="77"/>
      <c r="I847" s="77"/>
      <c r="J847" s="97"/>
      <c r="K847" s="1"/>
      <c r="L847" s="1"/>
      <c r="M847" s="1"/>
      <c r="N847" s="1"/>
      <c r="O847" s="1"/>
      <c r="P847" s="1"/>
      <c r="Q847" s="1"/>
      <c r="R847" s="1"/>
      <c r="S847" s="1"/>
      <c r="T847" s="1"/>
      <c r="U847" s="1"/>
      <c r="V847" s="1"/>
      <c r="W847" s="1"/>
      <c r="X847" s="1"/>
    </row>
    <row r="848" spans="1:24" ht="14.25" customHeight="1" x14ac:dyDescent="0.2">
      <c r="A848" s="79"/>
      <c r="B848" s="76"/>
      <c r="C848" s="76"/>
      <c r="D848" s="78"/>
      <c r="E848" s="77"/>
      <c r="F848" s="77"/>
      <c r="G848" s="77"/>
      <c r="H848" s="77"/>
      <c r="I848" s="77"/>
      <c r="J848" s="97"/>
      <c r="K848" s="1"/>
      <c r="L848" s="1"/>
      <c r="M848" s="1"/>
      <c r="N848" s="1"/>
      <c r="O848" s="1"/>
      <c r="P848" s="1"/>
      <c r="Q848" s="1"/>
      <c r="R848" s="1"/>
      <c r="S848" s="1"/>
      <c r="T848" s="1"/>
      <c r="U848" s="1"/>
      <c r="V848" s="1"/>
      <c r="W848" s="1"/>
      <c r="X848" s="1"/>
    </row>
    <row r="849" spans="1:24" ht="14.25" customHeight="1" x14ac:dyDescent="0.2">
      <c r="A849" s="79"/>
      <c r="B849" s="76"/>
      <c r="C849" s="76"/>
      <c r="D849" s="78"/>
      <c r="E849" s="77"/>
      <c r="F849" s="77"/>
      <c r="G849" s="77"/>
      <c r="H849" s="77"/>
      <c r="I849" s="77"/>
      <c r="J849" s="97"/>
      <c r="K849" s="1"/>
      <c r="L849" s="1"/>
      <c r="M849" s="1"/>
      <c r="N849" s="1"/>
      <c r="O849" s="1"/>
      <c r="P849" s="1"/>
      <c r="Q849" s="1"/>
      <c r="R849" s="1"/>
      <c r="S849" s="1"/>
      <c r="T849" s="1"/>
      <c r="U849" s="1"/>
      <c r="V849" s="1"/>
      <c r="W849" s="1"/>
      <c r="X849" s="1"/>
    </row>
    <row r="850" spans="1:24" ht="14.25" customHeight="1" x14ac:dyDescent="0.2">
      <c r="A850" s="79"/>
      <c r="B850" s="76"/>
      <c r="C850" s="76"/>
      <c r="D850" s="78"/>
      <c r="E850" s="77"/>
      <c r="F850" s="77"/>
      <c r="G850" s="77"/>
      <c r="H850" s="77"/>
      <c r="I850" s="77"/>
      <c r="J850" s="97"/>
      <c r="K850" s="1"/>
      <c r="L850" s="1"/>
      <c r="M850" s="1"/>
      <c r="N850" s="1"/>
      <c r="O850" s="1"/>
      <c r="P850" s="1"/>
      <c r="Q850" s="1"/>
      <c r="R850" s="1"/>
      <c r="S850" s="1"/>
      <c r="T850" s="1"/>
      <c r="U850" s="1"/>
      <c r="V850" s="1"/>
      <c r="W850" s="1"/>
      <c r="X850" s="1"/>
    </row>
    <row r="851" spans="1:24" ht="14.25" customHeight="1" x14ac:dyDescent="0.2">
      <c r="A851" s="79"/>
      <c r="B851" s="76"/>
      <c r="C851" s="76"/>
      <c r="D851" s="78"/>
      <c r="E851" s="77"/>
      <c r="F851" s="77"/>
      <c r="G851" s="77"/>
      <c r="H851" s="77"/>
      <c r="I851" s="77"/>
      <c r="J851" s="97"/>
      <c r="K851" s="1"/>
      <c r="L851" s="1"/>
      <c r="M851" s="1"/>
      <c r="N851" s="1"/>
      <c r="O851" s="1"/>
      <c r="P851" s="1"/>
      <c r="Q851" s="1"/>
      <c r="R851" s="1"/>
      <c r="S851" s="1"/>
      <c r="T851" s="1"/>
      <c r="U851" s="1"/>
      <c r="V851" s="1"/>
      <c r="W851" s="1"/>
      <c r="X851" s="1"/>
    </row>
    <row r="852" spans="1:24" ht="14.25" customHeight="1" x14ac:dyDescent="0.2">
      <c r="A852" s="79"/>
      <c r="B852" s="76"/>
      <c r="C852" s="76"/>
      <c r="D852" s="78"/>
      <c r="E852" s="77"/>
      <c r="F852" s="77"/>
      <c r="G852" s="77"/>
      <c r="H852" s="77"/>
      <c r="I852" s="77"/>
      <c r="J852" s="97"/>
      <c r="K852" s="1"/>
      <c r="L852" s="1"/>
      <c r="M852" s="1"/>
      <c r="N852" s="1"/>
      <c r="O852" s="1"/>
      <c r="P852" s="1"/>
      <c r="Q852" s="1"/>
      <c r="R852" s="1"/>
      <c r="S852" s="1"/>
      <c r="T852" s="1"/>
      <c r="U852" s="1"/>
      <c r="V852" s="1"/>
      <c r="W852" s="1"/>
      <c r="X852" s="1"/>
    </row>
    <row r="853" spans="1:24" ht="14.25" customHeight="1" x14ac:dyDescent="0.2">
      <c r="A853" s="79"/>
      <c r="B853" s="76"/>
      <c r="C853" s="76"/>
      <c r="D853" s="78"/>
      <c r="E853" s="77"/>
      <c r="F853" s="77"/>
      <c r="G853" s="77"/>
      <c r="H853" s="77"/>
      <c r="I853" s="77"/>
      <c r="J853" s="97"/>
      <c r="K853" s="1"/>
      <c r="L853" s="1"/>
      <c r="M853" s="1"/>
      <c r="N853" s="1"/>
      <c r="O853" s="1"/>
      <c r="P853" s="1"/>
      <c r="Q853" s="1"/>
      <c r="R853" s="1"/>
      <c r="S853" s="1"/>
      <c r="T853" s="1"/>
      <c r="U853" s="1"/>
      <c r="V853" s="1"/>
      <c r="W853" s="1"/>
      <c r="X853" s="1"/>
    </row>
    <row r="854" spans="1:24" ht="14.25" customHeight="1" x14ac:dyDescent="0.2">
      <c r="A854" s="79"/>
      <c r="B854" s="76"/>
      <c r="C854" s="76"/>
      <c r="D854" s="78"/>
      <c r="E854" s="77"/>
      <c r="F854" s="77"/>
      <c r="G854" s="77"/>
      <c r="H854" s="77"/>
      <c r="I854" s="77"/>
      <c r="J854" s="97"/>
      <c r="K854" s="1"/>
      <c r="L854" s="1"/>
      <c r="M854" s="1"/>
      <c r="N854" s="1"/>
      <c r="O854" s="1"/>
      <c r="P854" s="1"/>
      <c r="Q854" s="1"/>
      <c r="R854" s="1"/>
      <c r="S854" s="1"/>
      <c r="T854" s="1"/>
      <c r="U854" s="1"/>
      <c r="V854" s="1"/>
      <c r="W854" s="1"/>
      <c r="X854" s="1"/>
    </row>
    <row r="855" spans="1:24" ht="14.25" customHeight="1" x14ac:dyDescent="0.2">
      <c r="A855" s="79"/>
      <c r="B855" s="76"/>
      <c r="C855" s="76"/>
      <c r="D855" s="78"/>
      <c r="E855" s="77"/>
      <c r="F855" s="77"/>
      <c r="G855" s="77"/>
      <c r="H855" s="77"/>
      <c r="I855" s="77"/>
      <c r="J855" s="97"/>
      <c r="K855" s="1"/>
      <c r="L855" s="1"/>
      <c r="M855" s="1"/>
      <c r="N855" s="1"/>
      <c r="O855" s="1"/>
      <c r="P855" s="1"/>
      <c r="Q855" s="1"/>
      <c r="R855" s="1"/>
      <c r="S855" s="1"/>
      <c r="T855" s="1"/>
      <c r="U855" s="1"/>
      <c r="V855" s="1"/>
      <c r="W855" s="1"/>
      <c r="X855" s="1"/>
    </row>
    <row r="856" spans="1:24" ht="14.25" customHeight="1" x14ac:dyDescent="0.2">
      <c r="A856" s="79"/>
      <c r="B856" s="76"/>
      <c r="C856" s="76"/>
      <c r="D856" s="78"/>
      <c r="E856" s="77"/>
      <c r="F856" s="77"/>
      <c r="G856" s="77"/>
      <c r="H856" s="77"/>
      <c r="I856" s="77"/>
      <c r="J856" s="97"/>
      <c r="K856" s="1"/>
      <c r="L856" s="1"/>
      <c r="M856" s="1"/>
      <c r="N856" s="1"/>
      <c r="O856" s="1"/>
      <c r="P856" s="1"/>
      <c r="Q856" s="1"/>
      <c r="R856" s="1"/>
      <c r="S856" s="1"/>
      <c r="T856" s="1"/>
      <c r="U856" s="1"/>
      <c r="V856" s="1"/>
      <c r="W856" s="1"/>
      <c r="X856" s="1"/>
    </row>
    <row r="857" spans="1:24" ht="14.25" customHeight="1" x14ac:dyDescent="0.2">
      <c r="A857" s="79"/>
      <c r="B857" s="76"/>
      <c r="C857" s="76"/>
      <c r="D857" s="78"/>
      <c r="E857" s="77"/>
      <c r="F857" s="77"/>
      <c r="G857" s="77"/>
      <c r="H857" s="77"/>
      <c r="I857" s="77"/>
      <c r="J857" s="97"/>
      <c r="K857" s="1"/>
      <c r="L857" s="1"/>
      <c r="M857" s="1"/>
      <c r="N857" s="1"/>
      <c r="O857" s="1"/>
      <c r="P857" s="1"/>
      <c r="Q857" s="1"/>
      <c r="R857" s="1"/>
      <c r="S857" s="1"/>
      <c r="T857" s="1"/>
      <c r="U857" s="1"/>
      <c r="V857" s="1"/>
      <c r="W857" s="1"/>
      <c r="X857" s="1"/>
    </row>
    <row r="858" spans="1:24" ht="14.25" customHeight="1" x14ac:dyDescent="0.2">
      <c r="A858" s="79"/>
      <c r="B858" s="76"/>
      <c r="C858" s="76"/>
      <c r="D858" s="78"/>
      <c r="E858" s="77"/>
      <c r="F858" s="77"/>
      <c r="G858" s="77"/>
      <c r="H858" s="77"/>
      <c r="I858" s="77"/>
      <c r="J858" s="97"/>
      <c r="K858" s="1"/>
      <c r="L858" s="1"/>
      <c r="M858" s="1"/>
      <c r="N858" s="1"/>
      <c r="O858" s="1"/>
      <c r="P858" s="1"/>
      <c r="Q858" s="1"/>
      <c r="R858" s="1"/>
      <c r="S858" s="1"/>
      <c r="T858" s="1"/>
      <c r="U858" s="1"/>
      <c r="V858" s="1"/>
      <c r="W858" s="1"/>
      <c r="X858" s="1"/>
    </row>
    <row r="859" spans="1:24" ht="14.25" customHeight="1" x14ac:dyDescent="0.2">
      <c r="A859" s="79"/>
      <c r="B859" s="76"/>
      <c r="C859" s="76"/>
      <c r="D859" s="78"/>
      <c r="E859" s="77"/>
      <c r="F859" s="77"/>
      <c r="G859" s="77"/>
      <c r="H859" s="77"/>
      <c r="I859" s="77"/>
      <c r="J859" s="97"/>
      <c r="K859" s="1"/>
      <c r="L859" s="1"/>
      <c r="M859" s="1"/>
      <c r="N859" s="1"/>
      <c r="O859" s="1"/>
      <c r="P859" s="1"/>
      <c r="Q859" s="1"/>
      <c r="R859" s="1"/>
      <c r="S859" s="1"/>
      <c r="T859" s="1"/>
      <c r="U859" s="1"/>
      <c r="V859" s="1"/>
      <c r="W859" s="1"/>
      <c r="X859" s="1"/>
    </row>
    <row r="860" spans="1:24" ht="14.25" customHeight="1" x14ac:dyDescent="0.2">
      <c r="A860" s="79"/>
      <c r="B860" s="76"/>
      <c r="C860" s="76"/>
      <c r="D860" s="78"/>
      <c r="E860" s="77"/>
      <c r="F860" s="77"/>
      <c r="G860" s="77"/>
      <c r="H860" s="77"/>
      <c r="I860" s="77"/>
      <c r="J860" s="97"/>
      <c r="K860" s="1"/>
      <c r="L860" s="1"/>
      <c r="M860" s="1"/>
      <c r="N860" s="1"/>
      <c r="O860" s="1"/>
      <c r="P860" s="1"/>
      <c r="Q860" s="1"/>
      <c r="R860" s="1"/>
      <c r="S860" s="1"/>
      <c r="T860" s="1"/>
      <c r="U860" s="1"/>
      <c r="V860" s="1"/>
      <c r="W860" s="1"/>
      <c r="X860" s="1"/>
    </row>
    <row r="861" spans="1:24" ht="14.25" customHeight="1" x14ac:dyDescent="0.2">
      <c r="A861" s="79"/>
      <c r="B861" s="76"/>
      <c r="C861" s="76"/>
      <c r="D861" s="78"/>
      <c r="E861" s="77"/>
      <c r="F861" s="77"/>
      <c r="G861" s="77"/>
      <c r="H861" s="77"/>
      <c r="I861" s="77"/>
      <c r="J861" s="97"/>
      <c r="K861" s="1"/>
      <c r="L861" s="1"/>
      <c r="M861" s="1"/>
      <c r="N861" s="1"/>
      <c r="O861" s="1"/>
      <c r="P861" s="1"/>
      <c r="Q861" s="1"/>
      <c r="R861" s="1"/>
      <c r="S861" s="1"/>
      <c r="T861" s="1"/>
      <c r="U861" s="1"/>
      <c r="V861" s="1"/>
      <c r="W861" s="1"/>
      <c r="X861" s="1"/>
    </row>
    <row r="862" spans="1:24" ht="14.25" customHeight="1" x14ac:dyDescent="0.2">
      <c r="A862" s="79"/>
      <c r="B862" s="76"/>
      <c r="C862" s="76"/>
      <c r="D862" s="78"/>
      <c r="E862" s="77"/>
      <c r="F862" s="77"/>
      <c r="G862" s="77"/>
      <c r="H862" s="77"/>
      <c r="I862" s="77"/>
      <c r="J862" s="97"/>
      <c r="K862" s="1"/>
      <c r="L862" s="1"/>
      <c r="M862" s="1"/>
      <c r="N862" s="1"/>
      <c r="O862" s="1"/>
      <c r="P862" s="1"/>
      <c r="Q862" s="1"/>
      <c r="R862" s="1"/>
      <c r="S862" s="1"/>
      <c r="T862" s="1"/>
      <c r="U862" s="1"/>
      <c r="V862" s="1"/>
      <c r="W862" s="1"/>
      <c r="X862" s="1"/>
    </row>
    <row r="863" spans="1:24" ht="14.25" customHeight="1" x14ac:dyDescent="0.2">
      <c r="A863" s="79"/>
      <c r="B863" s="76"/>
      <c r="C863" s="76"/>
      <c r="D863" s="78"/>
      <c r="E863" s="77"/>
      <c r="F863" s="77"/>
      <c r="G863" s="77"/>
      <c r="H863" s="77"/>
      <c r="I863" s="77"/>
      <c r="J863" s="97"/>
      <c r="K863" s="1"/>
      <c r="L863" s="1"/>
      <c r="M863" s="1"/>
      <c r="N863" s="1"/>
      <c r="O863" s="1"/>
      <c r="P863" s="1"/>
      <c r="Q863" s="1"/>
      <c r="R863" s="1"/>
      <c r="S863" s="1"/>
      <c r="T863" s="1"/>
      <c r="U863" s="1"/>
      <c r="V863" s="1"/>
      <c r="W863" s="1"/>
      <c r="X863" s="1"/>
    </row>
    <row r="864" spans="1:24" ht="14.25" customHeight="1" x14ac:dyDescent="0.2">
      <c r="A864" s="79"/>
      <c r="B864" s="76"/>
      <c r="C864" s="76"/>
      <c r="D864" s="78"/>
      <c r="E864" s="77"/>
      <c r="F864" s="77"/>
      <c r="G864" s="77"/>
      <c r="H864" s="77"/>
      <c r="I864" s="77"/>
      <c r="J864" s="97"/>
      <c r="K864" s="1"/>
      <c r="L864" s="1"/>
      <c r="M864" s="1"/>
      <c r="N864" s="1"/>
      <c r="O864" s="1"/>
      <c r="P864" s="1"/>
      <c r="Q864" s="1"/>
      <c r="R864" s="1"/>
      <c r="S864" s="1"/>
      <c r="T864" s="1"/>
      <c r="U864" s="1"/>
      <c r="V864" s="1"/>
      <c r="W864" s="1"/>
      <c r="X864" s="1"/>
    </row>
    <row r="865" spans="1:24" ht="14.25" customHeight="1" x14ac:dyDescent="0.2">
      <c r="A865" s="79"/>
      <c r="B865" s="76"/>
      <c r="C865" s="76"/>
      <c r="D865" s="78"/>
      <c r="E865" s="77"/>
      <c r="F865" s="77"/>
      <c r="G865" s="77"/>
      <c r="H865" s="77"/>
      <c r="I865" s="77"/>
      <c r="J865" s="97"/>
      <c r="K865" s="1"/>
      <c r="L865" s="1"/>
      <c r="M865" s="1"/>
      <c r="N865" s="1"/>
      <c r="O865" s="1"/>
      <c r="P865" s="1"/>
      <c r="Q865" s="1"/>
      <c r="R865" s="1"/>
      <c r="S865" s="1"/>
      <c r="T865" s="1"/>
      <c r="U865" s="1"/>
      <c r="V865" s="1"/>
      <c r="W865" s="1"/>
      <c r="X865" s="1"/>
    </row>
    <row r="866" spans="1:24" ht="14.25" customHeight="1" x14ac:dyDescent="0.2">
      <c r="A866" s="79"/>
      <c r="B866" s="76"/>
      <c r="C866" s="76"/>
      <c r="D866" s="78"/>
      <c r="E866" s="77"/>
      <c r="F866" s="77"/>
      <c r="G866" s="77"/>
      <c r="H866" s="77"/>
      <c r="I866" s="77"/>
      <c r="J866" s="97"/>
      <c r="K866" s="1"/>
      <c r="L866" s="1"/>
      <c r="M866" s="1"/>
      <c r="N866" s="1"/>
      <c r="O866" s="1"/>
      <c r="P866" s="1"/>
      <c r="Q866" s="1"/>
      <c r="R866" s="1"/>
      <c r="S866" s="1"/>
      <c r="T866" s="1"/>
      <c r="U866" s="1"/>
      <c r="V866" s="1"/>
      <c r="W866" s="1"/>
      <c r="X866" s="1"/>
    </row>
    <row r="867" spans="1:24" ht="14.25" customHeight="1" x14ac:dyDescent="0.2">
      <c r="A867" s="79"/>
      <c r="B867" s="76"/>
      <c r="C867" s="76"/>
      <c r="D867" s="78"/>
      <c r="E867" s="77"/>
      <c r="F867" s="77"/>
      <c r="G867" s="77"/>
      <c r="H867" s="77"/>
      <c r="I867" s="77"/>
      <c r="J867" s="97"/>
      <c r="K867" s="1"/>
      <c r="L867" s="1"/>
      <c r="M867" s="1"/>
      <c r="N867" s="1"/>
      <c r="O867" s="1"/>
      <c r="P867" s="1"/>
      <c r="Q867" s="1"/>
      <c r="R867" s="1"/>
      <c r="S867" s="1"/>
      <c r="T867" s="1"/>
      <c r="U867" s="1"/>
      <c r="V867" s="1"/>
      <c r="W867" s="1"/>
      <c r="X867" s="1"/>
    </row>
    <row r="868" spans="1:24" ht="14.25" customHeight="1" x14ac:dyDescent="0.2">
      <c r="A868" s="79"/>
      <c r="B868" s="76"/>
      <c r="C868" s="76"/>
      <c r="D868" s="78"/>
      <c r="E868" s="77"/>
      <c r="F868" s="77"/>
      <c r="G868" s="77"/>
      <c r="H868" s="77"/>
      <c r="I868" s="77"/>
      <c r="J868" s="97"/>
      <c r="K868" s="1"/>
      <c r="L868" s="1"/>
      <c r="M868" s="1"/>
      <c r="N868" s="1"/>
      <c r="O868" s="1"/>
      <c r="P868" s="1"/>
      <c r="Q868" s="1"/>
      <c r="R868" s="1"/>
      <c r="S868" s="1"/>
      <c r="T868" s="1"/>
      <c r="U868" s="1"/>
      <c r="V868" s="1"/>
      <c r="W868" s="1"/>
      <c r="X868" s="1"/>
    </row>
    <row r="869" spans="1:24" ht="14.25" customHeight="1" x14ac:dyDescent="0.2">
      <c r="A869" s="79"/>
      <c r="B869" s="76"/>
      <c r="C869" s="76"/>
      <c r="D869" s="78"/>
      <c r="E869" s="77"/>
      <c r="F869" s="77"/>
      <c r="G869" s="77"/>
      <c r="H869" s="77"/>
      <c r="I869" s="77"/>
      <c r="J869" s="97"/>
      <c r="K869" s="1"/>
      <c r="L869" s="1"/>
      <c r="M869" s="1"/>
      <c r="N869" s="1"/>
      <c r="O869" s="1"/>
      <c r="P869" s="1"/>
      <c r="Q869" s="1"/>
      <c r="R869" s="1"/>
      <c r="S869" s="1"/>
      <c r="T869" s="1"/>
      <c r="U869" s="1"/>
      <c r="V869" s="1"/>
      <c r="W869" s="1"/>
      <c r="X869" s="1"/>
    </row>
    <row r="870" spans="1:24" ht="14.25" customHeight="1" x14ac:dyDescent="0.2">
      <c r="A870" s="79"/>
      <c r="B870" s="76"/>
      <c r="C870" s="76"/>
      <c r="D870" s="78"/>
      <c r="E870" s="77"/>
      <c r="F870" s="77"/>
      <c r="G870" s="77"/>
      <c r="H870" s="77"/>
      <c r="I870" s="77"/>
      <c r="J870" s="97"/>
      <c r="K870" s="1"/>
      <c r="L870" s="1"/>
      <c r="M870" s="1"/>
      <c r="N870" s="1"/>
      <c r="O870" s="1"/>
      <c r="P870" s="1"/>
      <c r="Q870" s="1"/>
      <c r="R870" s="1"/>
      <c r="S870" s="1"/>
      <c r="T870" s="1"/>
      <c r="U870" s="1"/>
      <c r="V870" s="1"/>
      <c r="W870" s="1"/>
      <c r="X870" s="1"/>
    </row>
    <row r="871" spans="1:24" ht="14.25" customHeight="1" x14ac:dyDescent="0.2">
      <c r="A871" s="79"/>
      <c r="B871" s="76"/>
      <c r="C871" s="76"/>
      <c r="D871" s="78"/>
      <c r="E871" s="77"/>
      <c r="F871" s="77"/>
      <c r="G871" s="77"/>
      <c r="H871" s="77"/>
      <c r="I871" s="77"/>
      <c r="J871" s="97"/>
      <c r="K871" s="1"/>
      <c r="L871" s="1"/>
      <c r="M871" s="1"/>
      <c r="N871" s="1"/>
      <c r="O871" s="1"/>
      <c r="P871" s="1"/>
      <c r="Q871" s="1"/>
      <c r="R871" s="1"/>
      <c r="S871" s="1"/>
      <c r="T871" s="1"/>
      <c r="U871" s="1"/>
      <c r="V871" s="1"/>
      <c r="W871" s="1"/>
      <c r="X871" s="1"/>
    </row>
    <row r="872" spans="1:24" ht="14.25" customHeight="1" x14ac:dyDescent="0.2">
      <c r="A872" s="79"/>
      <c r="B872" s="76"/>
      <c r="C872" s="76"/>
      <c r="D872" s="78"/>
      <c r="E872" s="77"/>
      <c r="F872" s="77"/>
      <c r="G872" s="77"/>
      <c r="H872" s="77"/>
      <c r="I872" s="77"/>
      <c r="J872" s="97"/>
      <c r="K872" s="1"/>
      <c r="L872" s="1"/>
      <c r="M872" s="1"/>
      <c r="N872" s="1"/>
      <c r="O872" s="1"/>
      <c r="P872" s="1"/>
      <c r="Q872" s="1"/>
      <c r="R872" s="1"/>
      <c r="S872" s="1"/>
      <c r="T872" s="1"/>
      <c r="U872" s="1"/>
      <c r="V872" s="1"/>
      <c r="W872" s="1"/>
      <c r="X872" s="1"/>
    </row>
    <row r="873" spans="1:24" ht="14.25" customHeight="1" x14ac:dyDescent="0.2">
      <c r="A873" s="79"/>
      <c r="B873" s="76"/>
      <c r="C873" s="76"/>
      <c r="D873" s="78"/>
      <c r="E873" s="77"/>
      <c r="F873" s="77"/>
      <c r="G873" s="77"/>
      <c r="H873" s="77"/>
      <c r="I873" s="77"/>
      <c r="J873" s="97"/>
      <c r="K873" s="1"/>
      <c r="L873" s="1"/>
      <c r="M873" s="1"/>
      <c r="N873" s="1"/>
      <c r="O873" s="1"/>
      <c r="P873" s="1"/>
      <c r="Q873" s="1"/>
      <c r="R873" s="1"/>
      <c r="S873" s="1"/>
      <c r="T873" s="1"/>
      <c r="U873" s="1"/>
      <c r="V873" s="1"/>
      <c r="W873" s="1"/>
      <c r="X873" s="1"/>
    </row>
    <row r="874" spans="1:24" ht="14.25" customHeight="1" x14ac:dyDescent="0.2">
      <c r="A874" s="79"/>
      <c r="B874" s="76"/>
      <c r="C874" s="76"/>
      <c r="D874" s="78"/>
      <c r="E874" s="77"/>
      <c r="F874" s="77"/>
      <c r="G874" s="77"/>
      <c r="H874" s="77"/>
      <c r="I874" s="77"/>
      <c r="J874" s="97"/>
      <c r="K874" s="1"/>
      <c r="L874" s="1"/>
      <c r="M874" s="1"/>
      <c r="N874" s="1"/>
      <c r="O874" s="1"/>
      <c r="P874" s="1"/>
      <c r="Q874" s="1"/>
      <c r="R874" s="1"/>
      <c r="S874" s="1"/>
      <c r="T874" s="1"/>
      <c r="U874" s="1"/>
      <c r="V874" s="1"/>
      <c r="W874" s="1"/>
      <c r="X874" s="1"/>
    </row>
    <row r="875" spans="1:24" ht="14.25" customHeight="1" x14ac:dyDescent="0.2">
      <c r="A875" s="79"/>
      <c r="B875" s="76"/>
      <c r="C875" s="76"/>
      <c r="D875" s="78"/>
      <c r="E875" s="77"/>
      <c r="F875" s="77"/>
      <c r="G875" s="77"/>
      <c r="H875" s="77"/>
      <c r="I875" s="77"/>
      <c r="J875" s="97"/>
      <c r="K875" s="1"/>
      <c r="L875" s="1"/>
      <c r="M875" s="1"/>
      <c r="N875" s="1"/>
      <c r="O875" s="1"/>
      <c r="P875" s="1"/>
      <c r="Q875" s="1"/>
      <c r="R875" s="1"/>
      <c r="S875" s="1"/>
      <c r="T875" s="1"/>
      <c r="U875" s="1"/>
      <c r="V875" s="1"/>
      <c r="W875" s="1"/>
      <c r="X875" s="1"/>
    </row>
    <row r="876" spans="1:24" ht="14.25" customHeight="1" x14ac:dyDescent="0.2">
      <c r="A876" s="79"/>
      <c r="B876" s="76"/>
      <c r="C876" s="76"/>
      <c r="D876" s="78"/>
      <c r="E876" s="77"/>
      <c r="F876" s="77"/>
      <c r="G876" s="77"/>
      <c r="H876" s="77"/>
      <c r="I876" s="77"/>
      <c r="J876" s="97"/>
      <c r="K876" s="1"/>
      <c r="L876" s="1"/>
      <c r="M876" s="1"/>
      <c r="N876" s="1"/>
      <c r="O876" s="1"/>
      <c r="P876" s="1"/>
      <c r="Q876" s="1"/>
      <c r="R876" s="1"/>
      <c r="S876" s="1"/>
      <c r="T876" s="1"/>
      <c r="U876" s="1"/>
      <c r="V876" s="1"/>
      <c r="W876" s="1"/>
      <c r="X876" s="1"/>
    </row>
    <row r="877" spans="1:24" ht="14.25" customHeight="1" x14ac:dyDescent="0.2">
      <c r="A877" s="79"/>
      <c r="B877" s="76"/>
      <c r="C877" s="76"/>
      <c r="D877" s="78"/>
      <c r="E877" s="77"/>
      <c r="F877" s="77"/>
      <c r="G877" s="77"/>
      <c r="H877" s="77"/>
      <c r="I877" s="77"/>
      <c r="J877" s="97"/>
      <c r="K877" s="1"/>
      <c r="L877" s="1"/>
      <c r="M877" s="1"/>
      <c r="N877" s="1"/>
      <c r="O877" s="1"/>
      <c r="P877" s="1"/>
      <c r="Q877" s="1"/>
      <c r="R877" s="1"/>
      <c r="S877" s="1"/>
      <c r="T877" s="1"/>
      <c r="U877" s="1"/>
      <c r="V877" s="1"/>
      <c r="W877" s="1"/>
      <c r="X877" s="1"/>
    </row>
    <row r="878" spans="1:24" ht="14.25" customHeight="1" x14ac:dyDescent="0.2">
      <c r="A878" s="79"/>
      <c r="B878" s="76"/>
      <c r="C878" s="76"/>
      <c r="D878" s="78"/>
      <c r="E878" s="77"/>
      <c r="F878" s="77"/>
      <c r="G878" s="77"/>
      <c r="H878" s="77"/>
      <c r="I878" s="77"/>
      <c r="J878" s="97"/>
      <c r="K878" s="1"/>
      <c r="L878" s="1"/>
      <c r="M878" s="1"/>
      <c r="N878" s="1"/>
      <c r="O878" s="1"/>
      <c r="P878" s="1"/>
      <c r="Q878" s="1"/>
      <c r="R878" s="1"/>
      <c r="S878" s="1"/>
      <c r="T878" s="1"/>
      <c r="U878" s="1"/>
      <c r="V878" s="1"/>
      <c r="W878" s="1"/>
      <c r="X878" s="1"/>
    </row>
    <row r="879" spans="1:24" ht="14.25" customHeight="1" x14ac:dyDescent="0.2">
      <c r="A879" s="79"/>
      <c r="B879" s="76"/>
      <c r="C879" s="76"/>
      <c r="D879" s="78"/>
      <c r="E879" s="77"/>
      <c r="F879" s="77"/>
      <c r="G879" s="77"/>
      <c r="H879" s="77"/>
      <c r="I879" s="77"/>
      <c r="J879" s="97"/>
      <c r="K879" s="1"/>
      <c r="L879" s="1"/>
      <c r="M879" s="1"/>
      <c r="N879" s="1"/>
      <c r="O879" s="1"/>
      <c r="P879" s="1"/>
      <c r="Q879" s="1"/>
      <c r="R879" s="1"/>
      <c r="S879" s="1"/>
      <c r="T879" s="1"/>
      <c r="U879" s="1"/>
      <c r="V879" s="1"/>
      <c r="W879" s="1"/>
      <c r="X879" s="1"/>
    </row>
    <row r="880" spans="1:24" ht="14.25" customHeight="1" x14ac:dyDescent="0.2">
      <c r="A880" s="79"/>
      <c r="B880" s="76"/>
      <c r="C880" s="76"/>
      <c r="D880" s="78"/>
      <c r="E880" s="77"/>
      <c r="F880" s="77"/>
      <c r="G880" s="77"/>
      <c r="H880" s="77"/>
      <c r="I880" s="77"/>
      <c r="J880" s="97"/>
      <c r="K880" s="1"/>
      <c r="L880" s="1"/>
      <c r="M880" s="1"/>
      <c r="N880" s="1"/>
      <c r="O880" s="1"/>
      <c r="P880" s="1"/>
      <c r="Q880" s="1"/>
      <c r="R880" s="1"/>
      <c r="S880" s="1"/>
      <c r="T880" s="1"/>
      <c r="U880" s="1"/>
      <c r="V880" s="1"/>
      <c r="W880" s="1"/>
      <c r="X880" s="1"/>
    </row>
    <row r="881" spans="1:24" ht="14.25" customHeight="1" x14ac:dyDescent="0.2">
      <c r="A881" s="79"/>
      <c r="B881" s="76"/>
      <c r="C881" s="76"/>
      <c r="D881" s="78"/>
      <c r="E881" s="77"/>
      <c r="F881" s="77"/>
      <c r="G881" s="77"/>
      <c r="H881" s="77"/>
      <c r="I881" s="77"/>
      <c r="J881" s="97"/>
      <c r="K881" s="1"/>
      <c r="L881" s="1"/>
      <c r="M881" s="1"/>
      <c r="N881" s="1"/>
      <c r="O881" s="1"/>
      <c r="P881" s="1"/>
      <c r="Q881" s="1"/>
      <c r="R881" s="1"/>
      <c r="S881" s="1"/>
      <c r="T881" s="1"/>
      <c r="U881" s="1"/>
      <c r="V881" s="1"/>
      <c r="W881" s="1"/>
      <c r="X881" s="1"/>
    </row>
    <row r="882" spans="1:24" ht="14.25" customHeight="1" x14ac:dyDescent="0.2">
      <c r="A882" s="79"/>
      <c r="B882" s="76"/>
      <c r="C882" s="76"/>
      <c r="D882" s="78"/>
      <c r="E882" s="77"/>
      <c r="F882" s="77"/>
      <c r="G882" s="77"/>
      <c r="H882" s="77"/>
      <c r="I882" s="77"/>
      <c r="J882" s="97"/>
      <c r="K882" s="1"/>
      <c r="L882" s="1"/>
      <c r="M882" s="1"/>
      <c r="N882" s="1"/>
      <c r="O882" s="1"/>
      <c r="P882" s="1"/>
      <c r="Q882" s="1"/>
      <c r="R882" s="1"/>
      <c r="S882" s="1"/>
      <c r="T882" s="1"/>
      <c r="U882" s="1"/>
      <c r="V882" s="1"/>
      <c r="W882" s="1"/>
      <c r="X882" s="1"/>
    </row>
    <row r="883" spans="1:24" ht="14.25" customHeight="1" x14ac:dyDescent="0.2">
      <c r="A883" s="79"/>
      <c r="B883" s="76"/>
      <c r="C883" s="76"/>
      <c r="D883" s="78"/>
      <c r="E883" s="77"/>
      <c r="F883" s="77"/>
      <c r="G883" s="77"/>
      <c r="H883" s="77"/>
      <c r="I883" s="77"/>
      <c r="J883" s="97"/>
      <c r="K883" s="1"/>
      <c r="L883" s="1"/>
      <c r="M883" s="1"/>
      <c r="N883" s="1"/>
      <c r="O883" s="1"/>
      <c r="P883" s="1"/>
      <c r="Q883" s="1"/>
      <c r="R883" s="1"/>
      <c r="S883" s="1"/>
      <c r="T883" s="1"/>
      <c r="U883" s="1"/>
      <c r="V883" s="1"/>
      <c r="W883" s="1"/>
      <c r="X883" s="1"/>
    </row>
    <row r="884" spans="1:24" ht="14.25" customHeight="1" x14ac:dyDescent="0.2">
      <c r="A884" s="79"/>
      <c r="B884" s="76"/>
      <c r="C884" s="76"/>
      <c r="D884" s="78"/>
      <c r="E884" s="77"/>
      <c r="F884" s="77"/>
      <c r="G884" s="77"/>
      <c r="H884" s="77"/>
      <c r="I884" s="77"/>
      <c r="J884" s="97"/>
      <c r="K884" s="1"/>
      <c r="L884" s="1"/>
      <c r="M884" s="1"/>
      <c r="N884" s="1"/>
      <c r="O884" s="1"/>
      <c r="P884" s="1"/>
      <c r="Q884" s="1"/>
      <c r="R884" s="1"/>
      <c r="S884" s="1"/>
      <c r="T884" s="1"/>
      <c r="U884" s="1"/>
      <c r="V884" s="1"/>
      <c r="W884" s="1"/>
      <c r="X884" s="1"/>
    </row>
    <row r="885" spans="1:24" ht="14.25" customHeight="1" x14ac:dyDescent="0.2">
      <c r="A885" s="79"/>
      <c r="B885" s="76"/>
      <c r="C885" s="76"/>
      <c r="D885" s="78"/>
      <c r="E885" s="77"/>
      <c r="F885" s="77"/>
      <c r="G885" s="77"/>
      <c r="H885" s="77"/>
      <c r="I885" s="77"/>
      <c r="J885" s="97"/>
      <c r="K885" s="1"/>
      <c r="L885" s="1"/>
      <c r="M885" s="1"/>
      <c r="N885" s="1"/>
      <c r="O885" s="1"/>
      <c r="P885" s="1"/>
      <c r="Q885" s="1"/>
      <c r="R885" s="1"/>
      <c r="S885" s="1"/>
      <c r="T885" s="1"/>
      <c r="U885" s="1"/>
      <c r="V885" s="1"/>
      <c r="W885" s="1"/>
      <c r="X885" s="1"/>
    </row>
    <row r="886" spans="1:24" ht="14.25" customHeight="1" x14ac:dyDescent="0.2">
      <c r="A886" s="79"/>
      <c r="B886" s="76"/>
      <c r="C886" s="76"/>
      <c r="D886" s="78"/>
      <c r="E886" s="77"/>
      <c r="F886" s="77"/>
      <c r="G886" s="77"/>
      <c r="H886" s="77"/>
      <c r="I886" s="77"/>
      <c r="J886" s="97"/>
      <c r="K886" s="1"/>
      <c r="L886" s="1"/>
      <c r="M886" s="1"/>
      <c r="N886" s="1"/>
      <c r="O886" s="1"/>
      <c r="P886" s="1"/>
      <c r="Q886" s="1"/>
      <c r="R886" s="1"/>
      <c r="S886" s="1"/>
      <c r="T886" s="1"/>
      <c r="U886" s="1"/>
      <c r="V886" s="1"/>
      <c r="W886" s="1"/>
      <c r="X886" s="1"/>
    </row>
    <row r="887" spans="1:24" ht="14.25" customHeight="1" x14ac:dyDescent="0.2">
      <c r="A887" s="79"/>
      <c r="B887" s="76"/>
      <c r="C887" s="76"/>
      <c r="D887" s="78"/>
      <c r="E887" s="77"/>
      <c r="F887" s="77"/>
      <c r="G887" s="77"/>
      <c r="H887" s="77"/>
      <c r="I887" s="77"/>
      <c r="J887" s="97"/>
      <c r="K887" s="1"/>
      <c r="L887" s="1"/>
      <c r="M887" s="1"/>
      <c r="N887" s="1"/>
      <c r="O887" s="1"/>
      <c r="P887" s="1"/>
      <c r="Q887" s="1"/>
      <c r="R887" s="1"/>
      <c r="S887" s="1"/>
      <c r="T887" s="1"/>
      <c r="U887" s="1"/>
      <c r="V887" s="1"/>
      <c r="W887" s="1"/>
      <c r="X887" s="1"/>
    </row>
    <row r="888" spans="1:24" ht="14.25" customHeight="1" x14ac:dyDescent="0.2">
      <c r="A888" s="79"/>
      <c r="B888" s="76"/>
      <c r="C888" s="76"/>
      <c r="D888" s="78"/>
      <c r="E888" s="77"/>
      <c r="F888" s="77"/>
      <c r="G888" s="77"/>
      <c r="H888" s="77"/>
      <c r="I888" s="77"/>
      <c r="J888" s="97"/>
      <c r="K888" s="1"/>
      <c r="L888" s="1"/>
      <c r="M888" s="1"/>
      <c r="N888" s="1"/>
      <c r="O888" s="1"/>
      <c r="P888" s="1"/>
      <c r="Q888" s="1"/>
      <c r="R888" s="1"/>
      <c r="S888" s="1"/>
      <c r="T888" s="1"/>
      <c r="U888" s="1"/>
      <c r="V888" s="1"/>
      <c r="W888" s="1"/>
      <c r="X888" s="1"/>
    </row>
    <row r="889" spans="1:24" ht="14.25" customHeight="1" x14ac:dyDescent="0.2">
      <c r="A889" s="79"/>
      <c r="B889" s="76"/>
      <c r="C889" s="76"/>
      <c r="D889" s="78"/>
      <c r="E889" s="77"/>
      <c r="F889" s="77"/>
      <c r="G889" s="77"/>
      <c r="H889" s="77"/>
      <c r="I889" s="77"/>
      <c r="J889" s="97"/>
      <c r="K889" s="1"/>
      <c r="L889" s="1"/>
      <c r="M889" s="1"/>
      <c r="N889" s="1"/>
      <c r="O889" s="1"/>
      <c r="P889" s="1"/>
      <c r="Q889" s="1"/>
      <c r="R889" s="1"/>
      <c r="S889" s="1"/>
      <c r="T889" s="1"/>
      <c r="U889" s="1"/>
      <c r="V889" s="1"/>
      <c r="W889" s="1"/>
      <c r="X889" s="1"/>
    </row>
    <row r="890" spans="1:24" ht="14.25" customHeight="1" x14ac:dyDescent="0.2">
      <c r="A890" s="79"/>
      <c r="B890" s="76"/>
      <c r="C890" s="76"/>
      <c r="D890" s="78"/>
      <c r="E890" s="77"/>
      <c r="F890" s="77"/>
      <c r="G890" s="77"/>
      <c r="H890" s="77"/>
      <c r="I890" s="77"/>
      <c r="J890" s="97"/>
      <c r="K890" s="1"/>
      <c r="L890" s="1"/>
      <c r="M890" s="1"/>
      <c r="N890" s="1"/>
      <c r="O890" s="1"/>
      <c r="P890" s="1"/>
      <c r="Q890" s="1"/>
      <c r="R890" s="1"/>
      <c r="S890" s="1"/>
      <c r="T890" s="1"/>
      <c r="U890" s="1"/>
      <c r="V890" s="1"/>
      <c r="W890" s="1"/>
      <c r="X890" s="1"/>
    </row>
    <row r="891" spans="1:24" ht="14.25" customHeight="1" x14ac:dyDescent="0.2">
      <c r="A891" s="79"/>
      <c r="B891" s="76"/>
      <c r="C891" s="76"/>
      <c r="D891" s="78"/>
      <c r="E891" s="77"/>
      <c r="F891" s="77"/>
      <c r="G891" s="77"/>
      <c r="H891" s="77"/>
      <c r="I891" s="77"/>
      <c r="J891" s="97"/>
      <c r="K891" s="1"/>
      <c r="L891" s="1"/>
      <c r="M891" s="1"/>
      <c r="N891" s="1"/>
      <c r="O891" s="1"/>
      <c r="P891" s="1"/>
      <c r="Q891" s="1"/>
      <c r="R891" s="1"/>
      <c r="S891" s="1"/>
      <c r="T891" s="1"/>
      <c r="U891" s="1"/>
      <c r="V891" s="1"/>
      <c r="W891" s="1"/>
      <c r="X891" s="1"/>
    </row>
    <row r="892" spans="1:24" ht="14.25" customHeight="1" x14ac:dyDescent="0.2">
      <c r="A892" s="79"/>
      <c r="B892" s="76"/>
      <c r="C892" s="76"/>
      <c r="D892" s="78"/>
      <c r="E892" s="77"/>
      <c r="F892" s="77"/>
      <c r="G892" s="77"/>
      <c r="H892" s="77"/>
      <c r="I892" s="77"/>
      <c r="J892" s="97"/>
      <c r="K892" s="1"/>
      <c r="L892" s="1"/>
      <c r="M892" s="1"/>
      <c r="N892" s="1"/>
      <c r="O892" s="1"/>
      <c r="P892" s="1"/>
      <c r="Q892" s="1"/>
      <c r="R892" s="1"/>
      <c r="S892" s="1"/>
      <c r="T892" s="1"/>
      <c r="U892" s="1"/>
      <c r="V892" s="1"/>
      <c r="W892" s="1"/>
      <c r="X892" s="1"/>
    </row>
    <row r="893" spans="1:24" ht="14.25" customHeight="1" x14ac:dyDescent="0.2">
      <c r="A893" s="79"/>
      <c r="B893" s="76"/>
      <c r="C893" s="76"/>
      <c r="D893" s="78"/>
      <c r="E893" s="77"/>
      <c r="F893" s="77"/>
      <c r="G893" s="77"/>
      <c r="H893" s="77"/>
      <c r="I893" s="77"/>
      <c r="J893" s="97"/>
      <c r="K893" s="1"/>
      <c r="L893" s="1"/>
      <c r="M893" s="1"/>
      <c r="N893" s="1"/>
      <c r="O893" s="1"/>
      <c r="P893" s="1"/>
      <c r="Q893" s="1"/>
      <c r="R893" s="1"/>
      <c r="S893" s="1"/>
      <c r="T893" s="1"/>
      <c r="U893" s="1"/>
      <c r="V893" s="1"/>
      <c r="W893" s="1"/>
      <c r="X893" s="1"/>
    </row>
    <row r="894" spans="1:24" ht="14.25" customHeight="1" x14ac:dyDescent="0.2">
      <c r="A894" s="79"/>
      <c r="B894" s="76"/>
      <c r="C894" s="76"/>
      <c r="D894" s="78"/>
      <c r="E894" s="77"/>
      <c r="F894" s="77"/>
      <c r="G894" s="77"/>
      <c r="H894" s="77"/>
      <c r="I894" s="77"/>
      <c r="J894" s="97"/>
      <c r="K894" s="1"/>
      <c r="L894" s="1"/>
      <c r="M894" s="1"/>
      <c r="N894" s="1"/>
      <c r="O894" s="1"/>
      <c r="P894" s="1"/>
      <c r="Q894" s="1"/>
      <c r="R894" s="1"/>
      <c r="S894" s="1"/>
      <c r="T894" s="1"/>
      <c r="U894" s="1"/>
      <c r="V894" s="1"/>
      <c r="W894" s="1"/>
      <c r="X894" s="1"/>
    </row>
    <row r="895" spans="1:24" ht="14.25" customHeight="1" x14ac:dyDescent="0.2">
      <c r="A895" s="79"/>
      <c r="B895" s="76"/>
      <c r="C895" s="76"/>
      <c r="D895" s="78"/>
      <c r="E895" s="77"/>
      <c r="F895" s="77"/>
      <c r="G895" s="77"/>
      <c r="H895" s="77"/>
      <c r="I895" s="77"/>
      <c r="J895" s="97"/>
      <c r="K895" s="1"/>
      <c r="L895" s="1"/>
      <c r="M895" s="1"/>
      <c r="N895" s="1"/>
      <c r="O895" s="1"/>
      <c r="P895" s="1"/>
      <c r="Q895" s="1"/>
      <c r="R895" s="1"/>
      <c r="S895" s="1"/>
      <c r="T895" s="1"/>
      <c r="U895" s="1"/>
      <c r="V895" s="1"/>
      <c r="W895" s="1"/>
      <c r="X895" s="1"/>
    </row>
    <row r="896" spans="1:24" ht="14.25" customHeight="1" x14ac:dyDescent="0.2">
      <c r="A896" s="79"/>
      <c r="B896" s="76"/>
      <c r="C896" s="76"/>
      <c r="D896" s="78"/>
      <c r="E896" s="77"/>
      <c r="F896" s="77"/>
      <c r="G896" s="77"/>
      <c r="H896" s="77"/>
      <c r="I896" s="77"/>
      <c r="J896" s="97"/>
      <c r="K896" s="1"/>
      <c r="L896" s="1"/>
      <c r="M896" s="1"/>
      <c r="N896" s="1"/>
      <c r="O896" s="1"/>
      <c r="P896" s="1"/>
      <c r="Q896" s="1"/>
      <c r="R896" s="1"/>
      <c r="S896" s="1"/>
      <c r="T896" s="1"/>
      <c r="U896" s="1"/>
      <c r="V896" s="1"/>
      <c r="W896" s="1"/>
      <c r="X896" s="1"/>
    </row>
    <row r="897" spans="1:24" ht="14.25" customHeight="1" x14ac:dyDescent="0.2">
      <c r="A897" s="79"/>
      <c r="B897" s="76"/>
      <c r="C897" s="76"/>
      <c r="D897" s="78"/>
      <c r="E897" s="77"/>
      <c r="F897" s="77"/>
      <c r="G897" s="77"/>
      <c r="H897" s="77"/>
      <c r="I897" s="77"/>
      <c r="J897" s="97"/>
      <c r="K897" s="1"/>
      <c r="L897" s="1"/>
      <c r="M897" s="1"/>
      <c r="N897" s="1"/>
      <c r="O897" s="1"/>
      <c r="P897" s="1"/>
      <c r="Q897" s="1"/>
      <c r="R897" s="1"/>
      <c r="S897" s="1"/>
      <c r="T897" s="1"/>
      <c r="U897" s="1"/>
      <c r="V897" s="1"/>
      <c r="W897" s="1"/>
      <c r="X897" s="1"/>
    </row>
    <row r="898" spans="1:24" ht="14.25" customHeight="1" x14ac:dyDescent="0.2">
      <c r="A898" s="79"/>
      <c r="B898" s="76"/>
      <c r="C898" s="76"/>
      <c r="D898" s="78"/>
      <c r="E898" s="77"/>
      <c r="F898" s="77"/>
      <c r="G898" s="77"/>
      <c r="H898" s="77"/>
      <c r="I898" s="77"/>
      <c r="J898" s="97"/>
      <c r="K898" s="1"/>
      <c r="L898" s="1"/>
      <c r="M898" s="1"/>
      <c r="N898" s="1"/>
      <c r="O898" s="1"/>
      <c r="P898" s="1"/>
      <c r="Q898" s="1"/>
      <c r="R898" s="1"/>
      <c r="S898" s="1"/>
      <c r="T898" s="1"/>
      <c r="U898" s="1"/>
      <c r="V898" s="1"/>
      <c r="W898" s="1"/>
      <c r="X898" s="1"/>
    </row>
    <row r="899" spans="1:24" ht="14.25" customHeight="1" x14ac:dyDescent="0.2">
      <c r="A899" s="79"/>
      <c r="B899" s="76"/>
      <c r="C899" s="76"/>
      <c r="D899" s="78"/>
      <c r="E899" s="77"/>
      <c r="F899" s="77"/>
      <c r="G899" s="77"/>
      <c r="H899" s="77"/>
      <c r="I899" s="77"/>
      <c r="J899" s="97"/>
      <c r="K899" s="1"/>
      <c r="L899" s="1"/>
      <c r="M899" s="1"/>
      <c r="N899" s="1"/>
      <c r="O899" s="1"/>
      <c r="P899" s="1"/>
      <c r="Q899" s="1"/>
      <c r="R899" s="1"/>
      <c r="S899" s="1"/>
      <c r="T899" s="1"/>
      <c r="U899" s="1"/>
      <c r="V899" s="1"/>
      <c r="W899" s="1"/>
      <c r="X899" s="1"/>
    </row>
    <row r="900" spans="1:24" ht="14.25" customHeight="1" x14ac:dyDescent="0.2">
      <c r="A900" s="79"/>
      <c r="B900" s="76"/>
      <c r="C900" s="76"/>
      <c r="D900" s="78"/>
      <c r="E900" s="77"/>
      <c r="F900" s="77"/>
      <c r="G900" s="77"/>
      <c r="H900" s="77"/>
      <c r="I900" s="77"/>
      <c r="J900" s="97"/>
      <c r="K900" s="1"/>
      <c r="L900" s="1"/>
      <c r="M900" s="1"/>
      <c r="N900" s="1"/>
      <c r="O900" s="1"/>
      <c r="P900" s="1"/>
      <c r="Q900" s="1"/>
      <c r="R900" s="1"/>
      <c r="S900" s="1"/>
      <c r="T900" s="1"/>
      <c r="U900" s="1"/>
      <c r="V900" s="1"/>
      <c r="W900" s="1"/>
      <c r="X900" s="1"/>
    </row>
    <row r="901" spans="1:24" ht="14.25" customHeight="1" x14ac:dyDescent="0.2">
      <c r="A901" s="79"/>
      <c r="B901" s="76"/>
      <c r="C901" s="76"/>
      <c r="D901" s="78"/>
      <c r="E901" s="77"/>
      <c r="F901" s="77"/>
      <c r="G901" s="77"/>
      <c r="H901" s="77"/>
      <c r="I901" s="77"/>
      <c r="J901" s="97"/>
      <c r="K901" s="1"/>
      <c r="L901" s="1"/>
      <c r="M901" s="1"/>
      <c r="N901" s="1"/>
      <c r="O901" s="1"/>
      <c r="P901" s="1"/>
      <c r="Q901" s="1"/>
      <c r="R901" s="1"/>
      <c r="S901" s="1"/>
      <c r="T901" s="1"/>
      <c r="U901" s="1"/>
      <c r="V901" s="1"/>
      <c r="W901" s="1"/>
      <c r="X901" s="1"/>
    </row>
    <row r="902" spans="1:24" ht="14.25" customHeight="1" x14ac:dyDescent="0.2">
      <c r="A902" s="79"/>
      <c r="B902" s="76"/>
      <c r="C902" s="76"/>
      <c r="D902" s="78"/>
      <c r="E902" s="77"/>
      <c r="F902" s="77"/>
      <c r="G902" s="77"/>
      <c r="H902" s="77"/>
      <c r="I902" s="77"/>
      <c r="J902" s="97"/>
      <c r="K902" s="1"/>
      <c r="L902" s="1"/>
      <c r="M902" s="1"/>
      <c r="N902" s="1"/>
      <c r="O902" s="1"/>
      <c r="P902" s="1"/>
      <c r="Q902" s="1"/>
      <c r="R902" s="1"/>
      <c r="S902" s="1"/>
      <c r="T902" s="1"/>
      <c r="U902" s="1"/>
      <c r="V902" s="1"/>
      <c r="W902" s="1"/>
      <c r="X902" s="1"/>
    </row>
    <row r="903" spans="1:24" ht="14.25" customHeight="1" x14ac:dyDescent="0.2">
      <c r="A903" s="79"/>
      <c r="B903" s="76"/>
      <c r="C903" s="76"/>
      <c r="D903" s="78"/>
      <c r="E903" s="77"/>
      <c r="F903" s="77"/>
      <c r="G903" s="77"/>
      <c r="H903" s="77"/>
      <c r="I903" s="77"/>
      <c r="J903" s="97"/>
      <c r="K903" s="1"/>
      <c r="L903" s="1"/>
      <c r="M903" s="1"/>
      <c r="N903" s="1"/>
      <c r="O903" s="1"/>
      <c r="P903" s="1"/>
      <c r="Q903" s="1"/>
      <c r="R903" s="1"/>
      <c r="S903" s="1"/>
      <c r="T903" s="1"/>
      <c r="U903" s="1"/>
      <c r="V903" s="1"/>
      <c r="W903" s="1"/>
      <c r="X903" s="1"/>
    </row>
    <row r="904" spans="1:24" ht="14.25" customHeight="1" x14ac:dyDescent="0.2">
      <c r="A904" s="79"/>
      <c r="B904" s="76"/>
      <c r="C904" s="76"/>
      <c r="D904" s="78"/>
      <c r="E904" s="77"/>
      <c r="F904" s="77"/>
      <c r="G904" s="77"/>
      <c r="H904" s="77"/>
      <c r="I904" s="77"/>
      <c r="J904" s="97"/>
      <c r="K904" s="1"/>
      <c r="L904" s="1"/>
      <c r="M904" s="1"/>
      <c r="N904" s="1"/>
      <c r="O904" s="1"/>
      <c r="P904" s="1"/>
      <c r="Q904" s="1"/>
      <c r="R904" s="1"/>
      <c r="S904" s="1"/>
      <c r="T904" s="1"/>
      <c r="U904" s="1"/>
      <c r="V904" s="1"/>
      <c r="W904" s="1"/>
      <c r="X904" s="1"/>
    </row>
    <row r="905" spans="1:24" ht="14.25" customHeight="1" x14ac:dyDescent="0.2">
      <c r="A905" s="79"/>
      <c r="B905" s="76"/>
      <c r="C905" s="76"/>
      <c r="D905" s="78"/>
      <c r="E905" s="77"/>
      <c r="F905" s="77"/>
      <c r="G905" s="77"/>
      <c r="H905" s="77"/>
      <c r="I905" s="77"/>
      <c r="J905" s="97"/>
      <c r="K905" s="1"/>
      <c r="L905" s="1"/>
      <c r="M905" s="1"/>
      <c r="N905" s="1"/>
      <c r="O905" s="1"/>
      <c r="P905" s="1"/>
      <c r="Q905" s="1"/>
      <c r="R905" s="1"/>
      <c r="S905" s="1"/>
      <c r="T905" s="1"/>
      <c r="U905" s="1"/>
      <c r="V905" s="1"/>
      <c r="W905" s="1"/>
      <c r="X905" s="1"/>
    </row>
    <row r="906" spans="1:24" ht="14.25" customHeight="1" x14ac:dyDescent="0.2">
      <c r="A906" s="79"/>
      <c r="B906" s="76"/>
      <c r="C906" s="76"/>
      <c r="D906" s="78"/>
      <c r="E906" s="77"/>
      <c r="F906" s="77"/>
      <c r="G906" s="77"/>
      <c r="H906" s="77"/>
      <c r="I906" s="77"/>
      <c r="J906" s="97"/>
      <c r="K906" s="1"/>
      <c r="L906" s="1"/>
      <c r="M906" s="1"/>
      <c r="N906" s="1"/>
      <c r="O906" s="1"/>
      <c r="P906" s="1"/>
      <c r="Q906" s="1"/>
      <c r="R906" s="1"/>
      <c r="S906" s="1"/>
      <c r="T906" s="1"/>
      <c r="U906" s="1"/>
      <c r="V906" s="1"/>
      <c r="W906" s="1"/>
      <c r="X906" s="1"/>
    </row>
    <row r="907" spans="1:24" ht="14.25" customHeight="1" x14ac:dyDescent="0.2">
      <c r="A907" s="79"/>
      <c r="B907" s="76"/>
      <c r="C907" s="76"/>
      <c r="D907" s="78"/>
      <c r="E907" s="77"/>
      <c r="F907" s="77"/>
      <c r="G907" s="77"/>
      <c r="H907" s="77"/>
      <c r="I907" s="77"/>
      <c r="J907" s="97"/>
      <c r="K907" s="1"/>
      <c r="L907" s="1"/>
      <c r="M907" s="1"/>
      <c r="N907" s="1"/>
      <c r="O907" s="1"/>
      <c r="P907" s="1"/>
      <c r="Q907" s="1"/>
      <c r="R907" s="1"/>
      <c r="S907" s="1"/>
      <c r="T907" s="1"/>
      <c r="U907" s="1"/>
      <c r="V907" s="1"/>
      <c r="W907" s="1"/>
      <c r="X907" s="1"/>
    </row>
    <row r="908" spans="1:24" ht="14.25" customHeight="1" x14ac:dyDescent="0.2">
      <c r="A908" s="79"/>
      <c r="B908" s="76"/>
      <c r="C908" s="76"/>
      <c r="D908" s="78"/>
      <c r="E908" s="77"/>
      <c r="F908" s="77"/>
      <c r="G908" s="77"/>
      <c r="H908" s="77"/>
      <c r="I908" s="77"/>
      <c r="J908" s="97"/>
      <c r="K908" s="1"/>
      <c r="L908" s="1"/>
      <c r="M908" s="1"/>
      <c r="N908" s="1"/>
      <c r="O908" s="1"/>
      <c r="P908" s="1"/>
      <c r="Q908" s="1"/>
      <c r="R908" s="1"/>
      <c r="S908" s="1"/>
      <c r="T908" s="1"/>
      <c r="U908" s="1"/>
      <c r="V908" s="1"/>
      <c r="W908" s="1"/>
      <c r="X908" s="1"/>
    </row>
    <row r="909" spans="1:24" ht="14.25" customHeight="1" x14ac:dyDescent="0.2">
      <c r="A909" s="79"/>
      <c r="B909" s="76"/>
      <c r="C909" s="76"/>
      <c r="D909" s="78"/>
      <c r="E909" s="77"/>
      <c r="F909" s="77"/>
      <c r="G909" s="77"/>
      <c r="H909" s="77"/>
      <c r="I909" s="77"/>
      <c r="J909" s="97"/>
      <c r="K909" s="1"/>
      <c r="L909" s="1"/>
      <c r="M909" s="1"/>
      <c r="N909" s="1"/>
      <c r="O909" s="1"/>
      <c r="P909" s="1"/>
      <c r="Q909" s="1"/>
      <c r="R909" s="1"/>
      <c r="S909" s="1"/>
      <c r="T909" s="1"/>
      <c r="U909" s="1"/>
      <c r="V909" s="1"/>
      <c r="W909" s="1"/>
      <c r="X909" s="1"/>
    </row>
    <row r="910" spans="1:24" ht="14.25" customHeight="1" x14ac:dyDescent="0.2">
      <c r="A910" s="79"/>
      <c r="B910" s="76"/>
      <c r="C910" s="76"/>
      <c r="D910" s="78"/>
      <c r="E910" s="77"/>
      <c r="F910" s="77"/>
      <c r="G910" s="77"/>
      <c r="H910" s="77"/>
      <c r="I910" s="77"/>
      <c r="J910" s="97"/>
      <c r="K910" s="1"/>
      <c r="L910" s="1"/>
      <c r="M910" s="1"/>
      <c r="N910" s="1"/>
      <c r="O910" s="1"/>
      <c r="P910" s="1"/>
      <c r="Q910" s="1"/>
      <c r="R910" s="1"/>
      <c r="S910" s="1"/>
      <c r="T910" s="1"/>
      <c r="U910" s="1"/>
      <c r="V910" s="1"/>
      <c r="W910" s="1"/>
      <c r="X910" s="1"/>
    </row>
    <row r="911" spans="1:24" ht="14.25" customHeight="1" x14ac:dyDescent="0.2">
      <c r="A911" s="79"/>
      <c r="B911" s="76"/>
      <c r="C911" s="76"/>
      <c r="D911" s="78"/>
      <c r="E911" s="77"/>
      <c r="F911" s="77"/>
      <c r="G911" s="77"/>
      <c r="H911" s="77"/>
      <c r="I911" s="77"/>
      <c r="J911" s="97"/>
      <c r="K911" s="1"/>
      <c r="L911" s="1"/>
      <c r="M911" s="1"/>
      <c r="N911" s="1"/>
      <c r="O911" s="1"/>
      <c r="P911" s="1"/>
      <c r="Q911" s="1"/>
      <c r="R911" s="1"/>
      <c r="S911" s="1"/>
      <c r="T911" s="1"/>
      <c r="U911" s="1"/>
      <c r="V911" s="1"/>
      <c r="W911" s="1"/>
      <c r="X911" s="1"/>
    </row>
    <row r="912" spans="1:24" ht="14.25" customHeight="1" x14ac:dyDescent="0.2">
      <c r="A912" s="79"/>
      <c r="B912" s="76"/>
      <c r="C912" s="76"/>
      <c r="D912" s="78"/>
      <c r="E912" s="77"/>
      <c r="F912" s="77"/>
      <c r="G912" s="77"/>
      <c r="H912" s="77"/>
      <c r="I912" s="77"/>
      <c r="J912" s="97"/>
      <c r="K912" s="1"/>
      <c r="L912" s="1"/>
      <c r="M912" s="1"/>
      <c r="N912" s="1"/>
      <c r="O912" s="1"/>
      <c r="P912" s="1"/>
      <c r="Q912" s="1"/>
      <c r="R912" s="1"/>
      <c r="S912" s="1"/>
      <c r="T912" s="1"/>
      <c r="U912" s="1"/>
      <c r="V912" s="1"/>
      <c r="W912" s="1"/>
      <c r="X912" s="1"/>
    </row>
    <row r="913" spans="1:24" ht="14.25" customHeight="1" x14ac:dyDescent="0.2">
      <c r="A913" s="79"/>
      <c r="B913" s="76"/>
      <c r="C913" s="76"/>
      <c r="D913" s="78"/>
      <c r="E913" s="77"/>
      <c r="F913" s="77"/>
      <c r="G913" s="77"/>
      <c r="H913" s="77"/>
      <c r="I913" s="77"/>
      <c r="J913" s="97"/>
      <c r="K913" s="1"/>
      <c r="L913" s="1"/>
      <c r="M913" s="1"/>
      <c r="N913" s="1"/>
      <c r="O913" s="1"/>
      <c r="P913" s="1"/>
      <c r="Q913" s="1"/>
      <c r="R913" s="1"/>
      <c r="S913" s="1"/>
      <c r="T913" s="1"/>
      <c r="U913" s="1"/>
      <c r="V913" s="1"/>
      <c r="W913" s="1"/>
      <c r="X913" s="1"/>
    </row>
    <row r="914" spans="1:24" ht="14.25" customHeight="1" x14ac:dyDescent="0.2">
      <c r="A914" s="79"/>
      <c r="B914" s="76"/>
      <c r="C914" s="76"/>
      <c r="D914" s="78"/>
      <c r="E914" s="77"/>
      <c r="F914" s="77"/>
      <c r="G914" s="77"/>
      <c r="H914" s="77"/>
      <c r="I914" s="77"/>
      <c r="J914" s="97"/>
      <c r="K914" s="1"/>
      <c r="L914" s="1"/>
      <c r="M914" s="1"/>
      <c r="N914" s="1"/>
      <c r="O914" s="1"/>
      <c r="P914" s="1"/>
      <c r="Q914" s="1"/>
      <c r="R914" s="1"/>
      <c r="S914" s="1"/>
      <c r="T914" s="1"/>
      <c r="U914" s="1"/>
      <c r="V914" s="1"/>
      <c r="W914" s="1"/>
      <c r="X914" s="1"/>
    </row>
    <row r="915" spans="1:24" ht="14.25" customHeight="1" x14ac:dyDescent="0.2">
      <c r="A915" s="79"/>
      <c r="B915" s="76"/>
      <c r="C915" s="76"/>
      <c r="D915" s="78"/>
      <c r="E915" s="77"/>
      <c r="F915" s="77"/>
      <c r="G915" s="77"/>
      <c r="H915" s="77"/>
      <c r="I915" s="77"/>
      <c r="J915" s="97"/>
      <c r="K915" s="1"/>
      <c r="L915" s="1"/>
      <c r="M915" s="1"/>
      <c r="N915" s="1"/>
      <c r="O915" s="1"/>
      <c r="P915" s="1"/>
      <c r="Q915" s="1"/>
      <c r="R915" s="1"/>
      <c r="S915" s="1"/>
      <c r="T915" s="1"/>
      <c r="U915" s="1"/>
      <c r="V915" s="1"/>
      <c r="W915" s="1"/>
      <c r="X915" s="1"/>
    </row>
    <row r="916" spans="1:24" ht="14.25" customHeight="1" x14ac:dyDescent="0.2">
      <c r="A916" s="79"/>
      <c r="B916" s="76"/>
      <c r="C916" s="76"/>
      <c r="D916" s="78"/>
      <c r="E916" s="77"/>
      <c r="F916" s="77"/>
      <c r="G916" s="77"/>
      <c r="H916" s="77"/>
      <c r="I916" s="77"/>
      <c r="J916" s="97"/>
      <c r="K916" s="1"/>
      <c r="L916" s="1"/>
      <c r="M916" s="1"/>
      <c r="N916" s="1"/>
      <c r="O916" s="1"/>
      <c r="P916" s="1"/>
      <c r="Q916" s="1"/>
      <c r="R916" s="1"/>
      <c r="S916" s="1"/>
      <c r="T916" s="1"/>
      <c r="U916" s="1"/>
      <c r="V916" s="1"/>
      <c r="W916" s="1"/>
      <c r="X916" s="1"/>
    </row>
    <row r="917" spans="1:24" ht="14.25" customHeight="1" x14ac:dyDescent="0.2">
      <c r="A917" s="79"/>
      <c r="B917" s="76"/>
      <c r="C917" s="76"/>
      <c r="D917" s="78"/>
      <c r="E917" s="77"/>
      <c r="F917" s="77"/>
      <c r="G917" s="77"/>
      <c r="H917" s="77"/>
      <c r="I917" s="77"/>
      <c r="J917" s="97"/>
      <c r="K917" s="1"/>
      <c r="L917" s="1"/>
      <c r="M917" s="1"/>
      <c r="N917" s="1"/>
      <c r="O917" s="1"/>
      <c r="P917" s="1"/>
      <c r="Q917" s="1"/>
      <c r="R917" s="1"/>
      <c r="S917" s="1"/>
      <c r="T917" s="1"/>
      <c r="U917" s="1"/>
      <c r="V917" s="1"/>
      <c r="W917" s="1"/>
      <c r="X917" s="1"/>
    </row>
    <row r="918" spans="1:24" ht="14.25" customHeight="1" x14ac:dyDescent="0.2">
      <c r="A918" s="79"/>
      <c r="B918" s="76"/>
      <c r="C918" s="76"/>
      <c r="D918" s="78"/>
      <c r="E918" s="77"/>
      <c r="F918" s="77"/>
      <c r="G918" s="77"/>
      <c r="H918" s="77"/>
      <c r="I918" s="77"/>
      <c r="J918" s="97"/>
      <c r="K918" s="1"/>
      <c r="L918" s="1"/>
      <c r="M918" s="1"/>
      <c r="N918" s="1"/>
      <c r="O918" s="1"/>
      <c r="P918" s="1"/>
      <c r="Q918" s="1"/>
      <c r="R918" s="1"/>
      <c r="S918" s="1"/>
      <c r="T918" s="1"/>
      <c r="U918" s="1"/>
      <c r="V918" s="1"/>
      <c r="W918" s="1"/>
      <c r="X918" s="1"/>
    </row>
    <row r="919" spans="1:24" ht="14.25" customHeight="1" x14ac:dyDescent="0.2">
      <c r="A919" s="79"/>
      <c r="B919" s="76"/>
      <c r="C919" s="76"/>
      <c r="D919" s="78"/>
      <c r="E919" s="77"/>
      <c r="F919" s="77"/>
      <c r="G919" s="77"/>
      <c r="H919" s="77"/>
      <c r="I919" s="77"/>
      <c r="J919" s="97"/>
      <c r="K919" s="1"/>
      <c r="L919" s="1"/>
      <c r="M919" s="1"/>
      <c r="N919" s="1"/>
      <c r="O919" s="1"/>
      <c r="P919" s="1"/>
      <c r="Q919" s="1"/>
      <c r="R919" s="1"/>
      <c r="S919" s="1"/>
      <c r="T919" s="1"/>
      <c r="U919" s="1"/>
      <c r="V919" s="1"/>
      <c r="W919" s="1"/>
      <c r="X919" s="1"/>
    </row>
    <row r="920" spans="1:24" ht="14.25" customHeight="1" x14ac:dyDescent="0.2">
      <c r="A920" s="79"/>
      <c r="B920" s="76"/>
      <c r="C920" s="76"/>
      <c r="D920" s="78"/>
      <c r="E920" s="77"/>
      <c r="F920" s="77"/>
      <c r="G920" s="77"/>
      <c r="H920" s="77"/>
      <c r="I920" s="77"/>
      <c r="J920" s="97"/>
      <c r="K920" s="1"/>
      <c r="L920" s="1"/>
      <c r="M920" s="1"/>
      <c r="N920" s="1"/>
      <c r="O920" s="1"/>
      <c r="P920" s="1"/>
      <c r="Q920" s="1"/>
      <c r="R920" s="1"/>
      <c r="S920" s="1"/>
      <c r="T920" s="1"/>
      <c r="U920" s="1"/>
      <c r="V920" s="1"/>
      <c r="W920" s="1"/>
      <c r="X920" s="1"/>
    </row>
    <row r="921" spans="1:24" ht="14.25" customHeight="1" x14ac:dyDescent="0.2">
      <c r="A921" s="79"/>
      <c r="B921" s="76"/>
      <c r="C921" s="76"/>
      <c r="D921" s="78"/>
      <c r="E921" s="77"/>
      <c r="F921" s="77"/>
      <c r="G921" s="77"/>
      <c r="H921" s="77"/>
      <c r="I921" s="77"/>
      <c r="J921" s="97"/>
      <c r="K921" s="1"/>
      <c r="L921" s="1"/>
      <c r="M921" s="1"/>
      <c r="N921" s="1"/>
      <c r="O921" s="1"/>
      <c r="P921" s="1"/>
      <c r="Q921" s="1"/>
      <c r="R921" s="1"/>
      <c r="S921" s="1"/>
      <c r="T921" s="1"/>
      <c r="U921" s="1"/>
      <c r="V921" s="1"/>
      <c r="W921" s="1"/>
      <c r="X921" s="1"/>
    </row>
    <row r="922" spans="1:24" ht="14.25" customHeight="1" x14ac:dyDescent="0.2">
      <c r="A922" s="79"/>
      <c r="B922" s="76"/>
      <c r="C922" s="76"/>
      <c r="D922" s="78"/>
      <c r="E922" s="77"/>
      <c r="F922" s="77"/>
      <c r="G922" s="77"/>
      <c r="H922" s="77"/>
      <c r="I922" s="77"/>
      <c r="J922" s="97"/>
      <c r="K922" s="1"/>
      <c r="L922" s="1"/>
      <c r="M922" s="1"/>
      <c r="N922" s="1"/>
      <c r="O922" s="1"/>
      <c r="P922" s="1"/>
      <c r="Q922" s="1"/>
      <c r="R922" s="1"/>
      <c r="S922" s="1"/>
      <c r="T922" s="1"/>
      <c r="U922" s="1"/>
      <c r="V922" s="1"/>
      <c r="W922" s="1"/>
      <c r="X922" s="1"/>
    </row>
    <row r="923" spans="1:24" ht="14.25" customHeight="1" x14ac:dyDescent="0.2">
      <c r="A923" s="79"/>
      <c r="B923" s="76"/>
      <c r="C923" s="76"/>
      <c r="D923" s="78"/>
      <c r="E923" s="77"/>
      <c r="F923" s="77"/>
      <c r="G923" s="77"/>
      <c r="H923" s="77"/>
      <c r="I923" s="77"/>
      <c r="J923" s="97"/>
      <c r="K923" s="1"/>
      <c r="L923" s="1"/>
      <c r="M923" s="1"/>
      <c r="N923" s="1"/>
      <c r="O923" s="1"/>
      <c r="P923" s="1"/>
      <c r="Q923" s="1"/>
      <c r="R923" s="1"/>
      <c r="S923" s="1"/>
      <c r="T923" s="1"/>
      <c r="U923" s="1"/>
      <c r="V923" s="1"/>
      <c r="W923" s="1"/>
      <c r="X923" s="1"/>
    </row>
    <row r="924" spans="1:24" ht="14.25" customHeight="1" x14ac:dyDescent="0.2">
      <c r="A924" s="79"/>
      <c r="B924" s="76"/>
      <c r="C924" s="76"/>
      <c r="D924" s="78"/>
      <c r="E924" s="77"/>
      <c r="F924" s="77"/>
      <c r="G924" s="77"/>
      <c r="H924" s="77"/>
      <c r="I924" s="77"/>
      <c r="J924" s="97"/>
      <c r="K924" s="1"/>
      <c r="L924" s="1"/>
      <c r="M924" s="1"/>
      <c r="N924" s="1"/>
      <c r="O924" s="1"/>
      <c r="P924" s="1"/>
      <c r="Q924" s="1"/>
      <c r="R924" s="1"/>
      <c r="S924" s="1"/>
      <c r="T924" s="1"/>
      <c r="U924" s="1"/>
      <c r="V924" s="1"/>
      <c r="W924" s="1"/>
      <c r="X924" s="1"/>
    </row>
    <row r="925" spans="1:24" ht="14.25" customHeight="1" x14ac:dyDescent="0.2">
      <c r="A925" s="79"/>
      <c r="B925" s="76"/>
      <c r="C925" s="76"/>
      <c r="D925" s="78"/>
      <c r="E925" s="77"/>
      <c r="F925" s="77"/>
      <c r="G925" s="77"/>
      <c r="H925" s="77"/>
      <c r="I925" s="77"/>
      <c r="J925" s="97"/>
      <c r="K925" s="1"/>
      <c r="L925" s="1"/>
      <c r="M925" s="1"/>
      <c r="N925" s="1"/>
      <c r="O925" s="1"/>
      <c r="P925" s="1"/>
      <c r="Q925" s="1"/>
      <c r="R925" s="1"/>
      <c r="S925" s="1"/>
      <c r="T925" s="1"/>
      <c r="U925" s="1"/>
      <c r="V925" s="1"/>
      <c r="W925" s="1"/>
      <c r="X925" s="1"/>
    </row>
    <row r="926" spans="1:24" ht="14.25" customHeight="1" x14ac:dyDescent="0.2">
      <c r="A926" s="79"/>
      <c r="B926" s="76"/>
      <c r="C926" s="76"/>
      <c r="D926" s="78"/>
      <c r="E926" s="77"/>
      <c r="F926" s="77"/>
      <c r="G926" s="77"/>
      <c r="H926" s="77"/>
      <c r="I926" s="77"/>
      <c r="J926" s="97"/>
      <c r="K926" s="1"/>
      <c r="L926" s="1"/>
      <c r="M926" s="1"/>
      <c r="N926" s="1"/>
      <c r="O926" s="1"/>
      <c r="P926" s="1"/>
      <c r="Q926" s="1"/>
      <c r="R926" s="1"/>
      <c r="S926" s="1"/>
      <c r="T926" s="1"/>
      <c r="U926" s="1"/>
      <c r="V926" s="1"/>
      <c r="W926" s="1"/>
      <c r="X926" s="1"/>
    </row>
    <row r="927" spans="1:24" ht="14.25" customHeight="1" x14ac:dyDescent="0.2">
      <c r="A927" s="79"/>
      <c r="B927" s="76"/>
      <c r="C927" s="76"/>
      <c r="D927" s="78"/>
      <c r="E927" s="77"/>
      <c r="F927" s="77"/>
      <c r="G927" s="77"/>
      <c r="H927" s="77"/>
      <c r="I927" s="77"/>
      <c r="J927" s="97"/>
      <c r="K927" s="1"/>
      <c r="L927" s="1"/>
      <c r="M927" s="1"/>
      <c r="N927" s="1"/>
      <c r="O927" s="1"/>
      <c r="P927" s="1"/>
      <c r="Q927" s="1"/>
      <c r="R927" s="1"/>
      <c r="S927" s="1"/>
      <c r="T927" s="1"/>
      <c r="U927" s="1"/>
      <c r="V927" s="1"/>
      <c r="W927" s="1"/>
      <c r="X927" s="1"/>
    </row>
    <row r="928" spans="1:24" ht="14.25" customHeight="1" x14ac:dyDescent="0.2">
      <c r="A928" s="79"/>
      <c r="B928" s="76"/>
      <c r="C928" s="76"/>
      <c r="D928" s="78"/>
      <c r="E928" s="77"/>
      <c r="F928" s="77"/>
      <c r="G928" s="77"/>
      <c r="H928" s="77"/>
      <c r="I928" s="77"/>
      <c r="J928" s="97"/>
      <c r="K928" s="1"/>
      <c r="L928" s="1"/>
      <c r="M928" s="1"/>
      <c r="N928" s="1"/>
      <c r="O928" s="1"/>
      <c r="P928" s="1"/>
      <c r="Q928" s="1"/>
      <c r="R928" s="1"/>
      <c r="S928" s="1"/>
      <c r="T928" s="1"/>
      <c r="U928" s="1"/>
      <c r="V928" s="1"/>
      <c r="W928" s="1"/>
      <c r="X928" s="1"/>
    </row>
    <row r="929" spans="1:24" ht="14.25" customHeight="1" x14ac:dyDescent="0.2">
      <c r="A929" s="79"/>
      <c r="B929" s="76"/>
      <c r="C929" s="76"/>
      <c r="D929" s="78"/>
      <c r="E929" s="77"/>
      <c r="F929" s="77"/>
      <c r="G929" s="77"/>
      <c r="H929" s="77"/>
      <c r="I929" s="77"/>
      <c r="J929" s="97"/>
      <c r="K929" s="1"/>
      <c r="L929" s="1"/>
      <c r="M929" s="1"/>
      <c r="N929" s="1"/>
      <c r="O929" s="1"/>
      <c r="P929" s="1"/>
      <c r="Q929" s="1"/>
      <c r="R929" s="1"/>
      <c r="S929" s="1"/>
      <c r="T929" s="1"/>
      <c r="U929" s="1"/>
      <c r="V929" s="1"/>
      <c r="W929" s="1"/>
      <c r="X929" s="1"/>
    </row>
    <row r="930" spans="1:24" ht="14.25" customHeight="1" x14ac:dyDescent="0.2">
      <c r="A930" s="79"/>
      <c r="B930" s="76"/>
      <c r="C930" s="76"/>
      <c r="D930" s="78"/>
      <c r="E930" s="77"/>
      <c r="F930" s="77"/>
      <c r="G930" s="77"/>
      <c r="H930" s="77"/>
      <c r="I930" s="77"/>
      <c r="J930" s="97"/>
      <c r="K930" s="1"/>
      <c r="L930" s="1"/>
      <c r="M930" s="1"/>
      <c r="N930" s="1"/>
      <c r="O930" s="1"/>
      <c r="P930" s="1"/>
      <c r="Q930" s="1"/>
      <c r="R930" s="1"/>
      <c r="S930" s="1"/>
      <c r="T930" s="1"/>
      <c r="U930" s="1"/>
      <c r="V930" s="1"/>
      <c r="W930" s="1"/>
      <c r="X930" s="1"/>
    </row>
    <row r="931" spans="1:24" ht="14.25" customHeight="1" x14ac:dyDescent="0.2">
      <c r="A931" s="79"/>
      <c r="B931" s="76"/>
      <c r="C931" s="76"/>
      <c r="D931" s="78"/>
      <c r="E931" s="77"/>
      <c r="F931" s="77"/>
      <c r="G931" s="77"/>
      <c r="H931" s="77"/>
      <c r="I931" s="77"/>
      <c r="J931" s="97"/>
      <c r="K931" s="1"/>
      <c r="L931" s="1"/>
      <c r="M931" s="1"/>
      <c r="N931" s="1"/>
      <c r="O931" s="1"/>
      <c r="P931" s="1"/>
      <c r="Q931" s="1"/>
      <c r="R931" s="1"/>
      <c r="S931" s="1"/>
      <c r="T931" s="1"/>
      <c r="U931" s="1"/>
      <c r="V931" s="1"/>
      <c r="W931" s="1"/>
      <c r="X931" s="1"/>
    </row>
    <row r="932" spans="1:24" ht="14.25" customHeight="1" x14ac:dyDescent="0.2">
      <c r="A932" s="79"/>
      <c r="B932" s="76"/>
      <c r="C932" s="76"/>
      <c r="D932" s="78"/>
      <c r="E932" s="77"/>
      <c r="F932" s="77"/>
      <c r="G932" s="77"/>
      <c r="H932" s="77"/>
      <c r="I932" s="77"/>
      <c r="J932" s="97"/>
      <c r="K932" s="1"/>
      <c r="L932" s="1"/>
      <c r="M932" s="1"/>
      <c r="N932" s="1"/>
      <c r="O932" s="1"/>
      <c r="P932" s="1"/>
      <c r="Q932" s="1"/>
      <c r="R932" s="1"/>
      <c r="S932" s="1"/>
      <c r="T932" s="1"/>
      <c r="U932" s="1"/>
      <c r="V932" s="1"/>
      <c r="W932" s="1"/>
      <c r="X932" s="1"/>
    </row>
    <row r="933" spans="1:24" ht="14.25" customHeight="1" x14ac:dyDescent="0.2">
      <c r="A933" s="79"/>
      <c r="B933" s="76"/>
      <c r="C933" s="76"/>
      <c r="D933" s="78"/>
      <c r="E933" s="77"/>
      <c r="F933" s="77"/>
      <c r="G933" s="77"/>
      <c r="H933" s="77"/>
      <c r="I933" s="77"/>
      <c r="J933" s="97"/>
      <c r="K933" s="1"/>
      <c r="L933" s="1"/>
      <c r="M933" s="1"/>
      <c r="N933" s="1"/>
      <c r="O933" s="1"/>
      <c r="P933" s="1"/>
      <c r="Q933" s="1"/>
      <c r="R933" s="1"/>
      <c r="S933" s="1"/>
      <c r="T933" s="1"/>
      <c r="U933" s="1"/>
      <c r="V933" s="1"/>
      <c r="W933" s="1"/>
      <c r="X933" s="1"/>
    </row>
    <row r="934" spans="1:24" ht="14.25" customHeight="1" x14ac:dyDescent="0.2">
      <c r="A934" s="79"/>
      <c r="B934" s="76"/>
      <c r="C934" s="76"/>
      <c r="D934" s="78"/>
      <c r="E934" s="77"/>
      <c r="F934" s="77"/>
      <c r="G934" s="77"/>
      <c r="H934" s="77"/>
      <c r="I934" s="77"/>
      <c r="J934" s="97"/>
      <c r="K934" s="1"/>
      <c r="L934" s="1"/>
      <c r="M934" s="1"/>
      <c r="N934" s="1"/>
      <c r="O934" s="1"/>
      <c r="P934" s="1"/>
      <c r="Q934" s="1"/>
      <c r="R934" s="1"/>
      <c r="S934" s="1"/>
      <c r="T934" s="1"/>
      <c r="U934" s="1"/>
      <c r="V934" s="1"/>
      <c r="W934" s="1"/>
      <c r="X934" s="1"/>
    </row>
    <row r="935" spans="1:24" ht="14.25" customHeight="1" x14ac:dyDescent="0.2">
      <c r="A935" s="79"/>
      <c r="B935" s="76"/>
      <c r="C935" s="76"/>
      <c r="D935" s="78"/>
      <c r="E935" s="77"/>
      <c r="F935" s="77"/>
      <c r="G935" s="77"/>
      <c r="H935" s="77"/>
      <c r="I935" s="77"/>
      <c r="J935" s="97"/>
      <c r="K935" s="1"/>
      <c r="L935" s="1"/>
      <c r="M935" s="1"/>
      <c r="N935" s="1"/>
      <c r="O935" s="1"/>
      <c r="P935" s="1"/>
      <c r="Q935" s="1"/>
      <c r="R935" s="1"/>
      <c r="S935" s="1"/>
      <c r="T935" s="1"/>
      <c r="U935" s="1"/>
      <c r="V935" s="1"/>
      <c r="W935" s="1"/>
      <c r="X935" s="1"/>
    </row>
    <row r="936" spans="1:24" ht="14.25" customHeight="1" x14ac:dyDescent="0.2">
      <c r="A936" s="79"/>
      <c r="B936" s="76"/>
      <c r="C936" s="76"/>
      <c r="D936" s="78"/>
      <c r="E936" s="77"/>
      <c r="F936" s="77"/>
      <c r="G936" s="77"/>
      <c r="H936" s="77"/>
      <c r="I936" s="77"/>
      <c r="J936" s="97"/>
      <c r="K936" s="1"/>
      <c r="L936" s="1"/>
      <c r="M936" s="1"/>
      <c r="N936" s="1"/>
      <c r="O936" s="1"/>
      <c r="P936" s="1"/>
      <c r="Q936" s="1"/>
      <c r="R936" s="1"/>
      <c r="S936" s="1"/>
      <c r="T936" s="1"/>
      <c r="U936" s="1"/>
      <c r="V936" s="1"/>
      <c r="W936" s="1"/>
      <c r="X936" s="1"/>
    </row>
    <row r="937" spans="1:24" ht="14.25" customHeight="1" x14ac:dyDescent="0.2">
      <c r="A937" s="79"/>
      <c r="B937" s="76"/>
      <c r="C937" s="76"/>
      <c r="D937" s="78"/>
      <c r="E937" s="77"/>
      <c r="F937" s="77"/>
      <c r="G937" s="77"/>
      <c r="H937" s="77"/>
      <c r="I937" s="77"/>
      <c r="J937" s="97"/>
      <c r="K937" s="1"/>
      <c r="L937" s="1"/>
      <c r="M937" s="1"/>
      <c r="N937" s="1"/>
      <c r="O937" s="1"/>
      <c r="P937" s="1"/>
      <c r="Q937" s="1"/>
      <c r="R937" s="1"/>
      <c r="S937" s="1"/>
      <c r="T937" s="1"/>
      <c r="U937" s="1"/>
      <c r="V937" s="1"/>
      <c r="W937" s="1"/>
      <c r="X937" s="1"/>
    </row>
    <row r="938" spans="1:24" ht="14.25" customHeight="1" x14ac:dyDescent="0.2">
      <c r="A938" s="79"/>
      <c r="B938" s="76"/>
      <c r="C938" s="76"/>
      <c r="D938" s="78"/>
      <c r="E938" s="77"/>
      <c r="F938" s="77"/>
      <c r="G938" s="77"/>
      <c r="H938" s="77"/>
      <c r="I938" s="77"/>
      <c r="J938" s="97"/>
      <c r="K938" s="1"/>
      <c r="L938" s="1"/>
      <c r="M938" s="1"/>
      <c r="N938" s="1"/>
      <c r="O938" s="1"/>
      <c r="P938" s="1"/>
      <c r="Q938" s="1"/>
      <c r="R938" s="1"/>
      <c r="S938" s="1"/>
      <c r="T938" s="1"/>
      <c r="U938" s="1"/>
      <c r="V938" s="1"/>
      <c r="W938" s="1"/>
      <c r="X938" s="1"/>
    </row>
    <row r="939" spans="1:24" ht="14.25" customHeight="1" x14ac:dyDescent="0.2">
      <c r="A939" s="79"/>
      <c r="B939" s="76"/>
      <c r="C939" s="76"/>
      <c r="D939" s="78"/>
      <c r="E939" s="77"/>
      <c r="F939" s="77"/>
      <c r="G939" s="77"/>
      <c r="H939" s="77"/>
      <c r="I939" s="77"/>
      <c r="J939" s="97"/>
      <c r="K939" s="1"/>
      <c r="L939" s="1"/>
      <c r="M939" s="1"/>
      <c r="N939" s="1"/>
      <c r="O939" s="1"/>
      <c r="P939" s="1"/>
      <c r="Q939" s="1"/>
      <c r="R939" s="1"/>
      <c r="S939" s="1"/>
      <c r="T939" s="1"/>
      <c r="U939" s="1"/>
      <c r="V939" s="1"/>
      <c r="W939" s="1"/>
      <c r="X939" s="1"/>
    </row>
    <row r="940" spans="1:24" ht="14.25" customHeight="1" x14ac:dyDescent="0.2">
      <c r="A940" s="79"/>
      <c r="B940" s="76"/>
      <c r="C940" s="76"/>
      <c r="D940" s="78"/>
      <c r="E940" s="77"/>
      <c r="F940" s="77"/>
      <c r="G940" s="77"/>
      <c r="H940" s="77"/>
      <c r="I940" s="77"/>
      <c r="J940" s="97"/>
      <c r="K940" s="1"/>
      <c r="L940" s="1"/>
      <c r="M940" s="1"/>
      <c r="N940" s="1"/>
      <c r="O940" s="1"/>
      <c r="P940" s="1"/>
      <c r="Q940" s="1"/>
      <c r="R940" s="1"/>
      <c r="S940" s="1"/>
      <c r="T940" s="1"/>
      <c r="U940" s="1"/>
      <c r="V940" s="1"/>
      <c r="W940" s="1"/>
      <c r="X940" s="1"/>
    </row>
    <row r="941" spans="1:24" ht="14.25" customHeight="1" x14ac:dyDescent="0.2">
      <c r="A941" s="79"/>
      <c r="B941" s="76"/>
      <c r="C941" s="76"/>
      <c r="D941" s="78"/>
      <c r="E941" s="77"/>
      <c r="F941" s="77"/>
      <c r="G941" s="77"/>
      <c r="H941" s="77"/>
      <c r="I941" s="77"/>
      <c r="J941" s="97"/>
      <c r="K941" s="1"/>
      <c r="L941" s="1"/>
      <c r="M941" s="1"/>
      <c r="N941" s="1"/>
      <c r="O941" s="1"/>
      <c r="P941" s="1"/>
      <c r="Q941" s="1"/>
      <c r="R941" s="1"/>
      <c r="S941" s="1"/>
      <c r="T941" s="1"/>
      <c r="U941" s="1"/>
      <c r="V941" s="1"/>
      <c r="W941" s="1"/>
      <c r="X941" s="1"/>
    </row>
    <row r="942" spans="1:24" ht="14.25" customHeight="1" x14ac:dyDescent="0.2">
      <c r="A942" s="79"/>
      <c r="B942" s="76"/>
      <c r="C942" s="76"/>
      <c r="D942" s="78"/>
      <c r="E942" s="77"/>
      <c r="F942" s="77"/>
      <c r="G942" s="77"/>
      <c r="H942" s="77"/>
      <c r="I942" s="77"/>
      <c r="J942" s="97"/>
      <c r="K942" s="1"/>
      <c r="L942" s="1"/>
      <c r="M942" s="1"/>
      <c r="N942" s="1"/>
      <c r="O942" s="1"/>
      <c r="P942" s="1"/>
      <c r="Q942" s="1"/>
      <c r="R942" s="1"/>
      <c r="S942" s="1"/>
      <c r="T942" s="1"/>
      <c r="U942" s="1"/>
      <c r="V942" s="1"/>
      <c r="W942" s="1"/>
      <c r="X942" s="1"/>
    </row>
    <row r="943" spans="1:24" ht="14.25" customHeight="1" x14ac:dyDescent="0.2">
      <c r="A943" s="79"/>
      <c r="B943" s="76"/>
      <c r="C943" s="76"/>
      <c r="D943" s="78"/>
      <c r="E943" s="77"/>
      <c r="F943" s="77"/>
      <c r="G943" s="77"/>
      <c r="H943" s="77"/>
      <c r="I943" s="77"/>
      <c r="J943" s="97"/>
      <c r="K943" s="1"/>
      <c r="L943" s="1"/>
      <c r="M943" s="1"/>
      <c r="N943" s="1"/>
      <c r="O943" s="1"/>
      <c r="P943" s="1"/>
      <c r="Q943" s="1"/>
      <c r="R943" s="1"/>
      <c r="S943" s="1"/>
      <c r="T943" s="1"/>
      <c r="U943" s="1"/>
      <c r="V943" s="1"/>
      <c r="W943" s="1"/>
      <c r="X943" s="1"/>
    </row>
    <row r="944" spans="1:24" ht="14.25" customHeight="1" x14ac:dyDescent="0.2">
      <c r="A944" s="79"/>
      <c r="B944" s="76"/>
      <c r="C944" s="76"/>
      <c r="D944" s="78"/>
      <c r="E944" s="77"/>
      <c r="F944" s="77"/>
      <c r="G944" s="77"/>
      <c r="H944" s="77"/>
      <c r="I944" s="77"/>
      <c r="J944" s="97"/>
      <c r="K944" s="1"/>
      <c r="L944" s="1"/>
      <c r="M944" s="1"/>
      <c r="N944" s="1"/>
      <c r="O944" s="1"/>
      <c r="P944" s="1"/>
      <c r="Q944" s="1"/>
      <c r="R944" s="1"/>
      <c r="S944" s="1"/>
      <c r="T944" s="1"/>
      <c r="U944" s="1"/>
      <c r="V944" s="1"/>
      <c r="W944" s="1"/>
      <c r="X944" s="1"/>
    </row>
    <row r="945" spans="1:24" ht="14.25" customHeight="1" x14ac:dyDescent="0.2">
      <c r="A945" s="79"/>
      <c r="B945" s="76"/>
      <c r="C945" s="76"/>
      <c r="D945" s="78"/>
      <c r="E945" s="77"/>
      <c r="F945" s="77"/>
      <c r="G945" s="77"/>
      <c r="H945" s="77"/>
      <c r="I945" s="77"/>
      <c r="J945" s="97"/>
      <c r="K945" s="1"/>
      <c r="L945" s="1"/>
      <c r="M945" s="1"/>
      <c r="N945" s="1"/>
      <c r="O945" s="1"/>
      <c r="P945" s="1"/>
      <c r="Q945" s="1"/>
      <c r="R945" s="1"/>
      <c r="S945" s="1"/>
      <c r="T945" s="1"/>
      <c r="U945" s="1"/>
      <c r="V945" s="1"/>
      <c r="W945" s="1"/>
      <c r="X945" s="1"/>
    </row>
    <row r="946" spans="1:24" ht="14.25" customHeight="1" x14ac:dyDescent="0.2">
      <c r="A946" s="79"/>
      <c r="B946" s="76"/>
      <c r="C946" s="76"/>
      <c r="D946" s="78"/>
      <c r="E946" s="77"/>
      <c r="F946" s="77"/>
      <c r="G946" s="77"/>
      <c r="H946" s="77"/>
      <c r="I946" s="77"/>
      <c r="J946" s="97"/>
      <c r="K946" s="1"/>
      <c r="L946" s="1"/>
      <c r="M946" s="1"/>
      <c r="N946" s="1"/>
      <c r="O946" s="1"/>
      <c r="P946" s="1"/>
      <c r="Q946" s="1"/>
      <c r="R946" s="1"/>
      <c r="S946" s="1"/>
      <c r="T946" s="1"/>
      <c r="U946" s="1"/>
      <c r="V946" s="1"/>
      <c r="W946" s="1"/>
      <c r="X946" s="1"/>
    </row>
    <row r="947" spans="1:24" ht="14.25" customHeight="1" x14ac:dyDescent="0.2">
      <c r="A947" s="79"/>
      <c r="B947" s="76"/>
      <c r="C947" s="76"/>
      <c r="D947" s="78"/>
      <c r="E947" s="77"/>
      <c r="F947" s="77"/>
      <c r="G947" s="77"/>
      <c r="H947" s="77"/>
      <c r="I947" s="77"/>
      <c r="J947" s="97"/>
      <c r="K947" s="1"/>
      <c r="L947" s="1"/>
      <c r="M947" s="1"/>
      <c r="N947" s="1"/>
      <c r="O947" s="1"/>
      <c r="P947" s="1"/>
      <c r="Q947" s="1"/>
      <c r="R947" s="1"/>
      <c r="S947" s="1"/>
      <c r="T947" s="1"/>
      <c r="U947" s="1"/>
      <c r="V947" s="1"/>
      <c r="W947" s="1"/>
      <c r="X947" s="1"/>
    </row>
    <row r="948" spans="1:24" ht="14.25" customHeight="1" x14ac:dyDescent="0.2">
      <c r="A948" s="79"/>
      <c r="B948" s="76"/>
      <c r="C948" s="76"/>
      <c r="D948" s="78"/>
      <c r="E948" s="77"/>
      <c r="F948" s="77"/>
      <c r="G948" s="77"/>
      <c r="H948" s="77"/>
      <c r="I948" s="77"/>
      <c r="J948" s="97"/>
      <c r="K948" s="1"/>
      <c r="L948" s="1"/>
      <c r="M948" s="1"/>
      <c r="N948" s="1"/>
      <c r="O948" s="1"/>
      <c r="P948" s="1"/>
      <c r="Q948" s="1"/>
      <c r="R948" s="1"/>
      <c r="S948" s="1"/>
      <c r="T948" s="1"/>
      <c r="U948" s="1"/>
      <c r="V948" s="1"/>
      <c r="W948" s="1"/>
      <c r="X948" s="1"/>
    </row>
    <row r="949" spans="1:24" ht="14.25" customHeight="1" x14ac:dyDescent="0.2">
      <c r="A949" s="79"/>
      <c r="B949" s="76"/>
      <c r="C949" s="76"/>
      <c r="D949" s="78"/>
      <c r="E949" s="77"/>
      <c r="F949" s="77"/>
      <c r="G949" s="77"/>
      <c r="H949" s="77"/>
      <c r="I949" s="77"/>
      <c r="J949" s="97"/>
      <c r="K949" s="1"/>
      <c r="L949" s="1"/>
      <c r="M949" s="1"/>
      <c r="N949" s="1"/>
      <c r="O949" s="1"/>
      <c r="P949" s="1"/>
      <c r="Q949" s="1"/>
      <c r="R949" s="1"/>
      <c r="S949" s="1"/>
      <c r="T949" s="1"/>
      <c r="U949" s="1"/>
      <c r="V949" s="1"/>
      <c r="W949" s="1"/>
      <c r="X949" s="1"/>
    </row>
    <row r="950" spans="1:24" ht="14.25" customHeight="1" x14ac:dyDescent="0.2">
      <c r="A950" s="79"/>
      <c r="B950" s="76"/>
      <c r="C950" s="76"/>
      <c r="D950" s="78"/>
      <c r="E950" s="77"/>
      <c r="F950" s="77"/>
      <c r="G950" s="77"/>
      <c r="H950" s="77"/>
      <c r="I950" s="77"/>
      <c r="J950" s="97"/>
      <c r="K950" s="1"/>
      <c r="L950" s="1"/>
      <c r="M950" s="1"/>
      <c r="N950" s="1"/>
      <c r="O950" s="1"/>
      <c r="P950" s="1"/>
      <c r="Q950" s="1"/>
      <c r="R950" s="1"/>
      <c r="S950" s="1"/>
      <c r="T950" s="1"/>
      <c r="U950" s="1"/>
      <c r="V950" s="1"/>
      <c r="W950" s="1"/>
      <c r="X950" s="1"/>
    </row>
    <row r="951" spans="1:24" ht="14.25" customHeight="1" x14ac:dyDescent="0.2">
      <c r="A951" s="79"/>
      <c r="B951" s="76"/>
      <c r="C951" s="76"/>
      <c r="D951" s="78"/>
      <c r="E951" s="77"/>
      <c r="F951" s="77"/>
      <c r="G951" s="77"/>
      <c r="H951" s="77"/>
      <c r="I951" s="77"/>
      <c r="J951" s="97"/>
      <c r="K951" s="1"/>
      <c r="L951" s="1"/>
      <c r="M951" s="1"/>
      <c r="N951" s="1"/>
      <c r="O951" s="1"/>
      <c r="P951" s="1"/>
      <c r="Q951" s="1"/>
      <c r="R951" s="1"/>
      <c r="S951" s="1"/>
      <c r="T951" s="1"/>
      <c r="U951" s="1"/>
      <c r="V951" s="1"/>
      <c r="W951" s="1"/>
      <c r="X951" s="1"/>
    </row>
    <row r="952" spans="1:24" ht="14.25" customHeight="1" x14ac:dyDescent="0.2">
      <c r="A952" s="79"/>
      <c r="B952" s="76"/>
      <c r="C952" s="76"/>
      <c r="D952" s="78"/>
      <c r="E952" s="77"/>
      <c r="F952" s="77"/>
      <c r="G952" s="77"/>
      <c r="H952" s="77"/>
      <c r="I952" s="77"/>
      <c r="J952" s="97"/>
      <c r="K952" s="1"/>
      <c r="L952" s="1"/>
      <c r="M952" s="1"/>
      <c r="N952" s="1"/>
      <c r="O952" s="1"/>
      <c r="P952" s="1"/>
      <c r="Q952" s="1"/>
      <c r="R952" s="1"/>
      <c r="S952" s="1"/>
      <c r="T952" s="1"/>
      <c r="U952" s="1"/>
      <c r="V952" s="1"/>
      <c r="W952" s="1"/>
      <c r="X952" s="1"/>
    </row>
    <row r="953" spans="1:24" ht="14.25" customHeight="1" x14ac:dyDescent="0.2">
      <c r="A953" s="79"/>
      <c r="B953" s="76"/>
      <c r="C953" s="76"/>
      <c r="D953" s="78"/>
      <c r="E953" s="77"/>
      <c r="F953" s="77"/>
      <c r="G953" s="77"/>
      <c r="H953" s="77"/>
      <c r="I953" s="77"/>
      <c r="J953" s="97"/>
      <c r="K953" s="1"/>
      <c r="L953" s="1"/>
      <c r="M953" s="1"/>
      <c r="N953" s="1"/>
      <c r="O953" s="1"/>
      <c r="P953" s="1"/>
      <c r="Q953" s="1"/>
      <c r="R953" s="1"/>
      <c r="S953" s="1"/>
      <c r="T953" s="1"/>
      <c r="U953" s="1"/>
      <c r="V953" s="1"/>
      <c r="W953" s="1"/>
      <c r="X953" s="1"/>
    </row>
    <row r="2273" spans="2:2" ht="15" customHeight="1" x14ac:dyDescent="0.2">
      <c r="B2273" s="72" t="e">
        <f>'Planilha orçamentária'!#REF!</f>
        <v>#REF!</v>
      </c>
    </row>
  </sheetData>
  <mergeCells count="43">
    <mergeCell ref="A193:I193"/>
    <mergeCell ref="A29:H29"/>
    <mergeCell ref="A26:H26"/>
    <mergeCell ref="A4:I4"/>
    <mergeCell ref="D13:I13"/>
    <mergeCell ref="A16:H16"/>
    <mergeCell ref="A90:H90"/>
    <mergeCell ref="A112:H112"/>
    <mergeCell ref="A42:H42"/>
    <mergeCell ref="A46:H46"/>
    <mergeCell ref="A60:H60"/>
    <mergeCell ref="A65:H65"/>
    <mergeCell ref="A82:H82"/>
    <mergeCell ref="A186:H186"/>
    <mergeCell ref="A97:H97"/>
    <mergeCell ref="A23:H23"/>
    <mergeCell ref="A195:I195"/>
    <mergeCell ref="A148:H148"/>
    <mergeCell ref="A190:I190"/>
    <mergeCell ref="A135:H135"/>
    <mergeCell ref="A192:I192"/>
    <mergeCell ref="A165:H165"/>
    <mergeCell ref="A194:I194"/>
    <mergeCell ref="A141:H141"/>
    <mergeCell ref="A174:H174"/>
    <mergeCell ref="A188:I188"/>
    <mergeCell ref="A189:I189"/>
    <mergeCell ref="A191:I191"/>
    <mergeCell ref="A185:H185"/>
    <mergeCell ref="A181:H181"/>
    <mergeCell ref="A143:I143"/>
    <mergeCell ref="A187:I187"/>
    <mergeCell ref="D24:I24"/>
    <mergeCell ref="A8:I8"/>
    <mergeCell ref="A12:H12"/>
    <mergeCell ref="A138:H138"/>
    <mergeCell ref="A1:I3"/>
    <mergeCell ref="A6:B7"/>
    <mergeCell ref="C6:F7"/>
    <mergeCell ref="G6:G7"/>
    <mergeCell ref="H6:H7"/>
    <mergeCell ref="I6:I7"/>
    <mergeCell ref="A5:I5"/>
  </mergeCells>
  <phoneticPr fontId="11" type="noConversion"/>
  <pageMargins left="0.70866141732283472" right="0.70866141732283472" top="0.47244094488188981" bottom="0.6692913385826772" header="0" footer="0"/>
  <pageSetup paperSize="9" scale="59" fitToHeight="0" orientation="landscape" r:id="rId1"/>
  <rowBreaks count="6" manualBreakCount="6">
    <brk id="40" max="8" man="1"/>
    <brk id="69" max="8" man="1"/>
    <brk id="97" max="8" man="1"/>
    <brk id="123" max="8" man="1"/>
    <brk id="153" max="8" man="1"/>
    <brk id="181" max="8"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Y1927"/>
  <sheetViews>
    <sheetView view="pageBreakPreview" topLeftCell="A1895" zoomScaleNormal="70" zoomScaleSheetLayoutView="100" workbookViewId="0">
      <selection activeCell="A1909" sqref="A1909:C1909"/>
    </sheetView>
  </sheetViews>
  <sheetFormatPr defaultColWidth="9" defaultRowHeight="15" customHeight="1" x14ac:dyDescent="0.2"/>
  <cols>
    <col min="1" max="1" width="14.7109375" style="169" customWidth="1"/>
    <col min="2" max="2" width="31.5703125" style="169" customWidth="1"/>
    <col min="3" max="3" width="19.42578125" style="171" customWidth="1"/>
    <col min="4" max="6" width="14.7109375" style="169" customWidth="1"/>
    <col min="7" max="8" width="14.7109375" style="171" customWidth="1"/>
    <col min="9" max="9" width="14.7109375" style="169" customWidth="1"/>
    <col min="10" max="10" width="14.7109375" style="171" customWidth="1"/>
    <col min="11" max="11" width="8" customWidth="1"/>
    <col min="12" max="12" width="13.7109375" customWidth="1"/>
    <col min="13" max="25" width="8" customWidth="1"/>
    <col min="26" max="255" width="12" customWidth="1"/>
  </cols>
  <sheetData>
    <row r="1" spans="1:25" ht="16.5" customHeight="1" x14ac:dyDescent="0.2">
      <c r="A1" s="366" t="s">
        <v>847</v>
      </c>
      <c r="B1" s="367"/>
      <c r="C1" s="367"/>
      <c r="D1" s="367"/>
      <c r="E1" s="367"/>
      <c r="F1" s="367"/>
      <c r="G1" s="367"/>
      <c r="H1" s="367"/>
      <c r="I1" s="367"/>
      <c r="J1" s="368"/>
      <c r="K1" s="10"/>
      <c r="L1" s="10"/>
      <c r="M1" s="10"/>
      <c r="N1" s="10"/>
      <c r="O1" s="10"/>
      <c r="P1" s="10"/>
      <c r="Q1" s="10"/>
      <c r="R1" s="10"/>
      <c r="S1" s="10"/>
      <c r="T1" s="10"/>
      <c r="U1" s="10"/>
      <c r="V1" s="10"/>
      <c r="W1" s="10"/>
      <c r="X1" s="10"/>
      <c r="Y1" s="10"/>
    </row>
    <row r="2" spans="1:25" ht="16.5" customHeight="1" x14ac:dyDescent="0.2">
      <c r="A2" s="369"/>
      <c r="B2" s="370"/>
      <c r="C2" s="370"/>
      <c r="D2" s="370"/>
      <c r="E2" s="370"/>
      <c r="F2" s="370"/>
      <c r="G2" s="370"/>
      <c r="H2" s="370"/>
      <c r="I2" s="370"/>
      <c r="J2" s="371"/>
      <c r="K2" s="10"/>
      <c r="L2" s="10"/>
      <c r="M2" s="10"/>
      <c r="N2" s="10"/>
      <c r="O2" s="10"/>
      <c r="P2" s="10"/>
      <c r="Q2" s="10"/>
      <c r="R2" s="10"/>
      <c r="S2" s="10"/>
      <c r="T2" s="10"/>
      <c r="U2" s="10"/>
      <c r="V2" s="10"/>
      <c r="W2" s="10"/>
      <c r="X2" s="10"/>
      <c r="Y2" s="10"/>
    </row>
    <row r="3" spans="1:25" ht="16.5" customHeight="1" x14ac:dyDescent="0.2">
      <c r="A3" s="372"/>
      <c r="B3" s="373"/>
      <c r="C3" s="373"/>
      <c r="D3" s="373"/>
      <c r="E3" s="373"/>
      <c r="F3" s="373"/>
      <c r="G3" s="373"/>
      <c r="H3" s="373"/>
      <c r="I3" s="373"/>
      <c r="J3" s="374"/>
      <c r="K3" s="10"/>
      <c r="L3" s="10"/>
      <c r="M3" s="10"/>
      <c r="N3" s="10"/>
      <c r="O3" s="10"/>
      <c r="P3" s="10"/>
      <c r="Q3" s="10"/>
      <c r="R3" s="10"/>
      <c r="S3" s="10"/>
      <c r="T3" s="10"/>
      <c r="U3" s="10"/>
      <c r="V3" s="10"/>
      <c r="W3" s="10"/>
      <c r="X3" s="10"/>
      <c r="Y3" s="10"/>
    </row>
    <row r="4" spans="1:25" ht="16.5" customHeight="1" x14ac:dyDescent="0.2">
      <c r="A4" s="389" t="s">
        <v>0</v>
      </c>
      <c r="B4" s="390"/>
      <c r="C4" s="390"/>
      <c r="D4" s="390"/>
      <c r="E4" s="390"/>
      <c r="F4" s="390"/>
      <c r="G4" s="390"/>
      <c r="H4" s="390"/>
      <c r="I4" s="390"/>
      <c r="J4" s="390"/>
      <c r="K4" s="10"/>
      <c r="L4" s="10"/>
      <c r="M4" s="10"/>
      <c r="N4" s="10"/>
      <c r="O4" s="10"/>
      <c r="P4" s="10"/>
      <c r="Q4" s="10"/>
      <c r="R4" s="10"/>
      <c r="S4" s="10"/>
      <c r="T4" s="10"/>
      <c r="U4" s="10"/>
      <c r="V4" s="10"/>
      <c r="W4" s="10"/>
      <c r="X4" s="10"/>
      <c r="Y4" s="10"/>
    </row>
    <row r="5" spans="1:25" ht="16.5" customHeight="1" x14ac:dyDescent="0.2">
      <c r="A5" s="387" t="s">
        <v>1</v>
      </c>
      <c r="B5" s="388"/>
      <c r="C5" s="388"/>
      <c r="D5" s="388"/>
      <c r="E5" s="388"/>
      <c r="F5" s="388"/>
      <c r="G5" s="388"/>
      <c r="H5" s="388"/>
      <c r="I5" s="388"/>
      <c r="J5" s="388"/>
      <c r="K5" s="10"/>
      <c r="L5" s="10"/>
      <c r="M5" s="10"/>
      <c r="N5" s="10"/>
      <c r="O5" s="10"/>
      <c r="P5" s="10"/>
      <c r="Q5" s="10"/>
      <c r="R5" s="10"/>
      <c r="S5" s="10"/>
      <c r="T5" s="10"/>
      <c r="U5" s="10"/>
      <c r="V5" s="10"/>
      <c r="W5" s="10"/>
      <c r="X5" s="10"/>
      <c r="Y5" s="10"/>
    </row>
    <row r="6" spans="1:25" ht="16.5" customHeight="1" x14ac:dyDescent="0.2">
      <c r="A6" s="375" t="s">
        <v>2</v>
      </c>
      <c r="B6" s="377" t="s">
        <v>324</v>
      </c>
      <c r="C6" s="378"/>
      <c r="D6" s="378"/>
      <c r="E6" s="378"/>
      <c r="F6" s="378"/>
      <c r="G6" s="379"/>
      <c r="H6" s="375" t="s">
        <v>3</v>
      </c>
      <c r="I6" s="383">
        <v>0.28079999999999999</v>
      </c>
      <c r="J6" s="385">
        <f ca="1">TODAY()</f>
        <v>45075</v>
      </c>
      <c r="K6" s="10"/>
      <c r="L6" s="10"/>
      <c r="M6" s="10"/>
      <c r="N6" s="10"/>
      <c r="O6" s="10"/>
      <c r="P6" s="10"/>
      <c r="Q6" s="10"/>
      <c r="R6" s="10"/>
      <c r="S6" s="10"/>
      <c r="T6" s="10"/>
      <c r="U6" s="10"/>
      <c r="V6" s="10"/>
      <c r="W6" s="10"/>
      <c r="X6" s="10"/>
      <c r="Y6" s="10"/>
    </row>
    <row r="7" spans="1:25" ht="16.5" customHeight="1" x14ac:dyDescent="0.2">
      <c r="A7" s="376"/>
      <c r="B7" s="380"/>
      <c r="C7" s="381"/>
      <c r="D7" s="381"/>
      <c r="E7" s="381"/>
      <c r="F7" s="381"/>
      <c r="G7" s="382"/>
      <c r="H7" s="376"/>
      <c r="I7" s="384"/>
      <c r="J7" s="386"/>
      <c r="K7" s="10"/>
      <c r="L7" s="10"/>
      <c r="M7" s="10"/>
      <c r="N7" s="10"/>
      <c r="O7" s="10"/>
      <c r="P7" s="10"/>
      <c r="Q7" s="10"/>
      <c r="R7" s="10"/>
      <c r="S7" s="10"/>
      <c r="T7" s="10"/>
      <c r="U7" s="10"/>
      <c r="V7" s="10"/>
      <c r="W7" s="10"/>
      <c r="X7" s="10"/>
      <c r="Y7" s="10"/>
    </row>
    <row r="8" spans="1:25" ht="21" customHeight="1" x14ac:dyDescent="0.2">
      <c r="A8" s="391" t="s">
        <v>119</v>
      </c>
      <c r="B8" s="388"/>
      <c r="C8" s="388"/>
      <c r="D8" s="388"/>
      <c r="E8" s="388"/>
      <c r="F8" s="388"/>
      <c r="G8" s="388"/>
      <c r="H8" s="388"/>
      <c r="I8" s="388"/>
      <c r="J8" s="388"/>
      <c r="K8" s="10"/>
      <c r="L8" s="10"/>
      <c r="M8" s="10"/>
      <c r="N8" s="10"/>
      <c r="O8" s="10"/>
      <c r="P8" s="10"/>
      <c r="Q8" s="10"/>
      <c r="R8" s="10"/>
      <c r="S8" s="10"/>
      <c r="T8" s="10"/>
      <c r="U8" s="10"/>
      <c r="V8" s="10"/>
      <c r="W8" s="10"/>
      <c r="X8" s="10"/>
      <c r="Y8" s="10"/>
    </row>
    <row r="9" spans="1:25" ht="16.5" customHeight="1" x14ac:dyDescent="0.2">
      <c r="A9" s="38">
        <f>'Planilha orçamentária'!A10</f>
        <v>1</v>
      </c>
      <c r="B9" s="392" t="str">
        <f>'Planilha orçamentária'!D10</f>
        <v>MOBILIZAÇÃO E DESMOBILIZAÇÃO</v>
      </c>
      <c r="C9" s="393"/>
      <c r="D9" s="393"/>
      <c r="E9" s="393"/>
      <c r="F9" s="393"/>
      <c r="G9" s="393"/>
      <c r="H9" s="393"/>
      <c r="I9" s="393"/>
      <c r="J9" s="393"/>
      <c r="K9" s="10"/>
      <c r="L9" s="10"/>
      <c r="M9" s="10"/>
      <c r="N9" s="10"/>
      <c r="O9" s="10"/>
      <c r="P9" s="10"/>
      <c r="Q9" s="10"/>
      <c r="R9" s="10"/>
      <c r="S9" s="10"/>
      <c r="T9" s="10"/>
      <c r="U9" s="10"/>
      <c r="V9" s="10"/>
      <c r="W9" s="10"/>
      <c r="X9" s="10"/>
      <c r="Y9" s="10"/>
    </row>
    <row r="10" spans="1:25" ht="16.5" customHeight="1" x14ac:dyDescent="0.2">
      <c r="A10" s="192" t="str">
        <f>'Planilha orçamentária'!A11</f>
        <v>1.1</v>
      </c>
      <c r="B10" s="395" t="str">
        <f>'Planilha orçamentária'!D11</f>
        <v>Mobilização e desmobilização de obra em centro urbano ou região limítrofe com valor acima de 3.000.000,00</v>
      </c>
      <c r="C10" s="388"/>
      <c r="D10" s="388"/>
      <c r="E10" s="388"/>
      <c r="F10" s="388"/>
      <c r="G10" s="388"/>
      <c r="H10" s="388"/>
      <c r="I10" s="388"/>
      <c r="J10" s="388"/>
      <c r="K10" s="10"/>
      <c r="L10" s="10"/>
      <c r="M10" s="10"/>
      <c r="N10" s="10"/>
      <c r="O10" s="10"/>
      <c r="P10" s="10"/>
      <c r="Q10" s="10"/>
      <c r="R10" s="10"/>
      <c r="S10" s="10"/>
      <c r="T10" s="10"/>
      <c r="U10" s="10"/>
      <c r="V10" s="10"/>
      <c r="W10" s="10"/>
      <c r="X10" s="10"/>
      <c r="Y10" s="10"/>
    </row>
    <row r="11" spans="1:25" ht="16.5" customHeight="1" x14ac:dyDescent="0.2">
      <c r="A11" s="364" t="s">
        <v>120</v>
      </c>
      <c r="B11" s="364"/>
      <c r="C11" s="364"/>
      <c r="D11" s="365" t="s">
        <v>630</v>
      </c>
      <c r="E11" s="365"/>
      <c r="F11" s="365" t="s">
        <v>631</v>
      </c>
      <c r="G11" s="365"/>
      <c r="H11" s="365" t="s">
        <v>632</v>
      </c>
      <c r="I11" s="365"/>
      <c r="J11" s="365"/>
      <c r="K11" s="10"/>
      <c r="L11" s="10"/>
      <c r="M11" s="10"/>
      <c r="N11" s="10"/>
      <c r="O11" s="10"/>
      <c r="P11" s="10"/>
      <c r="Q11" s="10"/>
      <c r="R11" s="10"/>
      <c r="S11" s="10"/>
      <c r="T11" s="10"/>
      <c r="U11" s="10"/>
      <c r="V11" s="10"/>
      <c r="W11" s="10"/>
      <c r="X11" s="10"/>
      <c r="Y11" s="10"/>
    </row>
    <row r="12" spans="1:25" ht="16.5" customHeight="1" x14ac:dyDescent="0.2">
      <c r="A12" s="364"/>
      <c r="B12" s="364"/>
      <c r="C12" s="364"/>
      <c r="D12" s="365"/>
      <c r="E12" s="365"/>
      <c r="F12" s="365"/>
      <c r="G12" s="365"/>
      <c r="H12" s="365"/>
      <c r="I12" s="365"/>
      <c r="J12" s="365"/>
      <c r="K12" s="10"/>
      <c r="L12" s="10"/>
      <c r="M12" s="10"/>
      <c r="N12" s="10"/>
      <c r="O12" s="10"/>
      <c r="P12" s="10"/>
      <c r="Q12" s="10"/>
      <c r="R12" s="10"/>
      <c r="S12" s="10"/>
      <c r="T12" s="10"/>
      <c r="U12" s="10"/>
      <c r="V12" s="10"/>
      <c r="W12" s="10"/>
      <c r="X12" s="10"/>
      <c r="Y12" s="10"/>
    </row>
    <row r="13" spans="1:25" ht="16.5" customHeight="1" x14ac:dyDescent="0.2">
      <c r="A13" s="364"/>
      <c r="B13" s="364"/>
      <c r="C13" s="364"/>
      <c r="D13" s="365"/>
      <c r="E13" s="365"/>
      <c r="F13" s="365"/>
      <c r="G13" s="365"/>
      <c r="H13" s="365"/>
      <c r="I13" s="365"/>
      <c r="J13" s="365"/>
      <c r="K13" s="10"/>
      <c r="L13" s="10"/>
      <c r="M13" s="10"/>
      <c r="N13" s="10"/>
      <c r="O13" s="10"/>
      <c r="P13" s="10"/>
      <c r="Q13" s="10"/>
      <c r="R13" s="10"/>
      <c r="S13" s="10"/>
      <c r="T13" s="10"/>
      <c r="U13" s="10"/>
      <c r="V13" s="10"/>
      <c r="W13" s="10"/>
      <c r="X13" s="10"/>
      <c r="Y13" s="10"/>
    </row>
    <row r="14" spans="1:25" ht="16.5" customHeight="1" x14ac:dyDescent="0.2">
      <c r="A14" s="399">
        <v>0.2</v>
      </c>
      <c r="B14" s="399"/>
      <c r="C14" s="399"/>
      <c r="D14" s="396">
        <v>11141573.550000001</v>
      </c>
      <c r="E14" s="396"/>
      <c r="F14" s="396">
        <f>D14/1.3038</f>
        <v>8545462.1491026226</v>
      </c>
      <c r="G14" s="396"/>
      <c r="H14" s="396">
        <f>(F14*A14)/100</f>
        <v>17090.924298205246</v>
      </c>
      <c r="I14" s="396"/>
      <c r="J14" s="396"/>
      <c r="K14" s="10"/>
      <c r="L14" s="10"/>
      <c r="M14" s="10"/>
      <c r="N14" s="10"/>
      <c r="O14" s="10"/>
      <c r="P14" s="10"/>
      <c r="Q14" s="10"/>
      <c r="R14" s="10"/>
      <c r="S14" s="10"/>
      <c r="T14" s="10"/>
      <c r="U14" s="10"/>
      <c r="V14" s="10"/>
      <c r="W14" s="10"/>
      <c r="X14" s="10"/>
      <c r="Y14" s="10"/>
    </row>
    <row r="15" spans="1:25" ht="16.5" customHeight="1" x14ac:dyDescent="0.2">
      <c r="A15" s="327" t="s">
        <v>120</v>
      </c>
      <c r="B15" s="328"/>
      <c r="C15" s="328"/>
      <c r="D15" s="182" t="s">
        <v>121</v>
      </c>
      <c r="E15" s="182" t="s">
        <v>122</v>
      </c>
      <c r="F15" s="182" t="s">
        <v>123</v>
      </c>
      <c r="G15" s="182" t="s">
        <v>124</v>
      </c>
      <c r="H15" s="182" t="s">
        <v>125</v>
      </c>
      <c r="I15" s="182" t="s">
        <v>126</v>
      </c>
      <c r="J15" s="182" t="s">
        <v>113</v>
      </c>
      <c r="K15" s="10"/>
      <c r="L15" s="10"/>
      <c r="M15" s="10"/>
      <c r="N15" s="10"/>
      <c r="O15" s="10"/>
      <c r="P15" s="10"/>
      <c r="Q15" s="10"/>
      <c r="R15" s="10"/>
      <c r="S15" s="10"/>
      <c r="T15" s="10"/>
      <c r="U15" s="10"/>
      <c r="V15" s="10"/>
      <c r="W15" s="10"/>
      <c r="X15" s="10"/>
      <c r="Y15" s="10"/>
    </row>
    <row r="16" spans="1:25" ht="16.5" customHeight="1" x14ac:dyDescent="0.2">
      <c r="A16" s="398" t="s">
        <v>127</v>
      </c>
      <c r="B16" s="393"/>
      <c r="C16" s="393"/>
      <c r="D16" s="193"/>
      <c r="E16" s="193"/>
      <c r="F16" s="193"/>
      <c r="G16" s="193">
        <v>0.3</v>
      </c>
      <c r="H16" s="33"/>
      <c r="I16" s="33"/>
      <c r="J16" s="170">
        <f>PRODUCT(D16:H16)-I16</f>
        <v>0.3</v>
      </c>
      <c r="K16" s="10"/>
      <c r="L16" s="10"/>
      <c r="M16" s="10"/>
      <c r="N16" s="10"/>
      <c r="O16" s="10"/>
      <c r="P16" s="10"/>
      <c r="Q16" s="10"/>
      <c r="R16" s="10"/>
      <c r="S16" s="10"/>
      <c r="T16" s="10"/>
      <c r="U16" s="10"/>
      <c r="V16" s="10"/>
      <c r="W16" s="10"/>
      <c r="X16" s="10"/>
      <c r="Y16" s="10"/>
    </row>
    <row r="17" spans="1:25" ht="16.5" customHeight="1" x14ac:dyDescent="0.2">
      <c r="A17" s="398" t="s">
        <v>495</v>
      </c>
      <c r="B17" s="393"/>
      <c r="C17" s="393"/>
      <c r="D17" s="193"/>
      <c r="E17" s="193"/>
      <c r="F17" s="193"/>
      <c r="G17" s="193">
        <v>0.7</v>
      </c>
      <c r="H17" s="33"/>
      <c r="I17" s="33"/>
      <c r="J17" s="170">
        <f>PRODUCT(D17:H17)-I17</f>
        <v>0.7</v>
      </c>
      <c r="K17" s="10"/>
      <c r="L17" s="10"/>
      <c r="M17" s="10"/>
      <c r="N17" s="10"/>
      <c r="O17" s="10"/>
      <c r="P17" s="10"/>
      <c r="Q17" s="10"/>
      <c r="R17" s="10"/>
      <c r="S17" s="10"/>
      <c r="T17" s="10"/>
      <c r="U17" s="10"/>
      <c r="V17" s="10"/>
      <c r="W17" s="10"/>
      <c r="X17" s="10"/>
      <c r="Y17" s="10"/>
    </row>
    <row r="18" spans="1:25" ht="16.5" customHeight="1" x14ac:dyDescent="0.2">
      <c r="A18" s="394" t="str">
        <f>"TOTAL - "&amp;'Planilha orçamentária'!F11</f>
        <v>TOTAL - VB</v>
      </c>
      <c r="B18" s="394"/>
      <c r="C18" s="394"/>
      <c r="D18" s="394"/>
      <c r="E18" s="394"/>
      <c r="F18" s="394"/>
      <c r="G18" s="394"/>
      <c r="H18" s="394"/>
      <c r="I18" s="394"/>
      <c r="J18" s="194">
        <f>SUM(J16:J17)</f>
        <v>1</v>
      </c>
      <c r="K18" s="10"/>
      <c r="L18" s="10"/>
      <c r="M18" s="10"/>
      <c r="N18" s="10"/>
      <c r="O18" s="10"/>
      <c r="P18" s="10"/>
      <c r="Q18" s="10"/>
      <c r="R18" s="10"/>
      <c r="S18" s="10"/>
      <c r="T18" s="10"/>
      <c r="U18" s="10"/>
      <c r="V18" s="10"/>
      <c r="W18" s="10"/>
      <c r="X18" s="10"/>
      <c r="Y18" s="10"/>
    </row>
    <row r="19" spans="1:25" ht="16.5" customHeight="1" x14ac:dyDescent="0.2">
      <c r="A19" s="35">
        <f>'Planilha orçamentária'!A13</f>
        <v>2</v>
      </c>
      <c r="B19" s="397" t="str">
        <f>'Planilha orçamentária'!D13</f>
        <v>ADMINISTRAÇÃO LOCAL</v>
      </c>
      <c r="C19" s="393"/>
      <c r="D19" s="393"/>
      <c r="E19" s="393"/>
      <c r="F19" s="393"/>
      <c r="G19" s="393"/>
      <c r="H19" s="393"/>
      <c r="I19" s="393"/>
      <c r="J19" s="393"/>
      <c r="K19" s="10"/>
      <c r="L19" s="10"/>
      <c r="M19" s="10"/>
      <c r="N19" s="10"/>
      <c r="O19" s="10"/>
      <c r="P19" s="10"/>
      <c r="Q19" s="10"/>
      <c r="R19" s="10"/>
      <c r="S19" s="10"/>
      <c r="T19" s="10"/>
      <c r="U19" s="10"/>
      <c r="V19" s="10"/>
      <c r="W19" s="10"/>
      <c r="X19" s="10"/>
      <c r="Y19" s="10"/>
    </row>
    <row r="20" spans="1:25" ht="16.5" customHeight="1" x14ac:dyDescent="0.2">
      <c r="A20" s="195" t="str">
        <f>'Planilha orçamentária'!A14</f>
        <v>2.1</v>
      </c>
      <c r="B20" s="420" t="str">
        <f>'Planilha orçamentária'!D14</f>
        <v>Engenheiro civil de obra júnior com encargos complementares</v>
      </c>
      <c r="C20" s="421"/>
      <c r="D20" s="421"/>
      <c r="E20" s="421"/>
      <c r="F20" s="421"/>
      <c r="G20" s="421"/>
      <c r="H20" s="421"/>
      <c r="I20" s="421"/>
      <c r="J20" s="422"/>
      <c r="K20" s="10"/>
      <c r="L20" s="10"/>
      <c r="M20" s="10"/>
      <c r="N20" s="10"/>
      <c r="O20" s="10"/>
      <c r="P20" s="10"/>
      <c r="Q20" s="10"/>
      <c r="R20" s="10"/>
      <c r="S20" s="10"/>
      <c r="T20" s="10"/>
      <c r="U20" s="10"/>
      <c r="V20" s="10"/>
      <c r="W20" s="10"/>
      <c r="X20" s="10"/>
      <c r="Y20" s="10"/>
    </row>
    <row r="21" spans="1:25" ht="25.5" customHeight="1" x14ac:dyDescent="0.2">
      <c r="A21" s="423" t="s">
        <v>120</v>
      </c>
      <c r="B21" s="328"/>
      <c r="C21" s="328"/>
      <c r="D21" s="181" t="s">
        <v>121</v>
      </c>
      <c r="E21" s="181" t="s">
        <v>122</v>
      </c>
      <c r="F21" s="181" t="s">
        <v>288</v>
      </c>
      <c r="G21" s="196" t="s">
        <v>131</v>
      </c>
      <c r="H21" s="181" t="s">
        <v>132</v>
      </c>
      <c r="I21" s="181" t="s">
        <v>133</v>
      </c>
      <c r="J21" s="181" t="s">
        <v>134</v>
      </c>
      <c r="K21" s="10"/>
      <c r="L21" s="10"/>
      <c r="M21" s="10"/>
      <c r="N21" s="10"/>
      <c r="O21" s="10"/>
      <c r="P21" s="10"/>
      <c r="Q21" s="10"/>
      <c r="R21" s="10"/>
      <c r="S21" s="10"/>
      <c r="T21" s="10"/>
      <c r="U21" s="10"/>
      <c r="V21" s="10"/>
      <c r="W21" s="10"/>
      <c r="X21" s="10"/>
      <c r="Y21" s="10"/>
    </row>
    <row r="22" spans="1:25" ht="16.5" customHeight="1" x14ac:dyDescent="0.2">
      <c r="A22" s="419" t="s">
        <v>135</v>
      </c>
      <c r="B22" s="317"/>
      <c r="C22" s="317"/>
      <c r="D22" s="148"/>
      <c r="E22" s="148"/>
      <c r="F22" s="197"/>
      <c r="G22" s="148"/>
      <c r="H22" s="148">
        <v>10</v>
      </c>
      <c r="I22" s="148"/>
      <c r="J22" s="170">
        <f>PRODUCT(D22:H22)-I22</f>
        <v>10</v>
      </c>
      <c r="K22" s="10"/>
      <c r="L22" s="10"/>
      <c r="M22" s="10"/>
      <c r="N22" s="10"/>
      <c r="O22" s="10"/>
      <c r="P22" s="10"/>
      <c r="Q22" s="10"/>
      <c r="R22" s="10"/>
      <c r="S22" s="10"/>
      <c r="T22" s="10"/>
      <c r="U22" s="10"/>
      <c r="V22" s="10"/>
      <c r="W22" s="10"/>
      <c r="X22" s="10"/>
      <c r="Y22" s="10"/>
    </row>
    <row r="23" spans="1:25" ht="16.5" customHeight="1" x14ac:dyDescent="0.2">
      <c r="A23" s="342" t="str">
        <f>"TOTAL - "&amp;'Planilha orçamentária'!F14</f>
        <v>TOTAL - MÊS</v>
      </c>
      <c r="B23" s="342"/>
      <c r="C23" s="342"/>
      <c r="D23" s="342"/>
      <c r="E23" s="342"/>
      <c r="F23" s="342"/>
      <c r="G23" s="342"/>
      <c r="H23" s="342"/>
      <c r="I23" s="342"/>
      <c r="J23" s="198">
        <f>SUM(J22)</f>
        <v>10</v>
      </c>
      <c r="K23" s="10"/>
      <c r="L23" s="10"/>
      <c r="M23" s="10"/>
      <c r="N23" s="10"/>
      <c r="O23" s="10"/>
      <c r="P23" s="10"/>
      <c r="Q23" s="10"/>
      <c r="R23" s="10"/>
      <c r="S23" s="10"/>
      <c r="T23" s="10"/>
      <c r="U23" s="10"/>
      <c r="V23" s="10"/>
      <c r="W23" s="10"/>
      <c r="X23" s="10"/>
      <c r="Y23" s="10"/>
    </row>
    <row r="24" spans="1:25" ht="16.5" customHeight="1" x14ac:dyDescent="0.2">
      <c r="A24" s="184" t="str">
        <f>'Planilha orçamentária'!A15</f>
        <v>2.2</v>
      </c>
      <c r="B24" s="343" t="str">
        <f>'Planilha orçamentária'!D15</f>
        <v>Encarregado geral de obras com encargos complementares</v>
      </c>
      <c r="C24" s="344"/>
      <c r="D24" s="344"/>
      <c r="E24" s="344"/>
      <c r="F24" s="344"/>
      <c r="G24" s="344"/>
      <c r="H24" s="344"/>
      <c r="I24" s="344"/>
      <c r="J24" s="344"/>
      <c r="K24" s="10"/>
      <c r="L24" s="10"/>
      <c r="M24" s="10"/>
      <c r="N24" s="10"/>
      <c r="O24" s="10"/>
      <c r="P24" s="10"/>
      <c r="Q24" s="10"/>
      <c r="R24" s="10"/>
      <c r="S24" s="10"/>
      <c r="T24" s="10"/>
      <c r="U24" s="10"/>
      <c r="V24" s="10"/>
      <c r="W24" s="10"/>
      <c r="X24" s="10"/>
      <c r="Y24" s="10"/>
    </row>
    <row r="25" spans="1:25" ht="25.5" customHeight="1" x14ac:dyDescent="0.2">
      <c r="A25" s="423" t="s">
        <v>120</v>
      </c>
      <c r="B25" s="328"/>
      <c r="C25" s="328"/>
      <c r="D25" s="181" t="s">
        <v>121</v>
      </c>
      <c r="E25" s="181" t="s">
        <v>122</v>
      </c>
      <c r="F25" s="181" t="s">
        <v>130</v>
      </c>
      <c r="G25" s="196" t="s">
        <v>131</v>
      </c>
      <c r="H25" s="181" t="s">
        <v>132</v>
      </c>
      <c r="I25" s="181" t="s">
        <v>133</v>
      </c>
      <c r="J25" s="181" t="s">
        <v>134</v>
      </c>
      <c r="K25" s="10"/>
      <c r="L25" s="10"/>
      <c r="M25" s="10"/>
      <c r="N25" s="10"/>
      <c r="O25" s="10"/>
      <c r="P25" s="10"/>
      <c r="Q25" s="10"/>
      <c r="R25" s="10"/>
      <c r="S25" s="10"/>
      <c r="T25" s="10"/>
      <c r="U25" s="10"/>
      <c r="V25" s="10"/>
      <c r="W25" s="10"/>
      <c r="X25" s="10"/>
      <c r="Y25" s="10"/>
    </row>
    <row r="26" spans="1:25" ht="16.5" customHeight="1" x14ac:dyDescent="0.2">
      <c r="A26" s="316" t="s">
        <v>137</v>
      </c>
      <c r="B26" s="317"/>
      <c r="C26" s="317"/>
      <c r="D26" s="148"/>
      <c r="E26" s="148"/>
      <c r="F26" s="148"/>
      <c r="G26" s="148"/>
      <c r="H26" s="148">
        <v>10</v>
      </c>
      <c r="I26" s="148"/>
      <c r="J26" s="170">
        <f>PRODUCT(D26:H26)-I26</f>
        <v>10</v>
      </c>
      <c r="K26" s="10"/>
      <c r="L26" s="10"/>
      <c r="M26" s="10"/>
      <c r="N26" s="10"/>
      <c r="O26" s="10"/>
      <c r="P26" s="10"/>
      <c r="Q26" s="10"/>
      <c r="R26" s="10"/>
      <c r="S26" s="10"/>
      <c r="T26" s="10"/>
      <c r="U26" s="10"/>
      <c r="V26" s="10"/>
      <c r="W26" s="10"/>
      <c r="X26" s="10"/>
      <c r="Y26" s="10"/>
    </row>
    <row r="27" spans="1:25" ht="16.5" customHeight="1" x14ac:dyDescent="0.2">
      <c r="A27" s="342" t="str">
        <f>"TOTAL - "&amp;'Planilha orçamentária'!F15</f>
        <v>TOTAL - MÊS</v>
      </c>
      <c r="B27" s="342"/>
      <c r="C27" s="342"/>
      <c r="D27" s="342"/>
      <c r="E27" s="342"/>
      <c r="F27" s="342"/>
      <c r="G27" s="342"/>
      <c r="H27" s="342"/>
      <c r="I27" s="342"/>
      <c r="J27" s="198">
        <f>SUM(J26)</f>
        <v>10</v>
      </c>
      <c r="K27" s="10"/>
      <c r="L27" s="10"/>
      <c r="M27" s="10"/>
      <c r="N27" s="10"/>
      <c r="O27" s="10"/>
      <c r="P27" s="10"/>
      <c r="Q27" s="10"/>
      <c r="R27" s="10"/>
      <c r="S27" s="10"/>
      <c r="T27" s="10"/>
      <c r="U27" s="10"/>
      <c r="V27" s="10"/>
      <c r="W27" s="10"/>
      <c r="X27" s="10"/>
      <c r="Y27" s="10"/>
    </row>
    <row r="28" spans="1:25" ht="16.5" customHeight="1" x14ac:dyDescent="0.2">
      <c r="A28" s="35">
        <f>'Planilha orçamentária'!A17</f>
        <v>3</v>
      </c>
      <c r="B28" s="397" t="str">
        <f>'Planilha orçamentária'!D17</f>
        <v>SERVIÇOS PRELIMINARES</v>
      </c>
      <c r="C28" s="393"/>
      <c r="D28" s="393"/>
      <c r="E28" s="393"/>
      <c r="F28" s="393"/>
      <c r="G28" s="393"/>
      <c r="H28" s="393"/>
      <c r="I28" s="393"/>
      <c r="J28" s="393"/>
      <c r="K28" s="10"/>
      <c r="L28" s="10"/>
      <c r="M28" s="10"/>
      <c r="N28" s="10"/>
      <c r="O28" s="10"/>
      <c r="P28" s="10"/>
      <c r="Q28" s="10"/>
      <c r="R28" s="10"/>
      <c r="S28" s="10"/>
      <c r="T28" s="10"/>
      <c r="U28" s="10"/>
      <c r="V28" s="10"/>
      <c r="W28" s="10"/>
      <c r="X28" s="10"/>
      <c r="Y28" s="10"/>
    </row>
    <row r="29" spans="1:25" ht="25.5" customHeight="1" x14ac:dyDescent="0.2">
      <c r="A29" s="184" t="str">
        <f>'Planilha orçamentária'!A18</f>
        <v>3.1</v>
      </c>
      <c r="B29" s="343" t="str">
        <f>'Planilha orçamentária'!D18</f>
        <v>Fornecimento e colocação de placa de obra em chapa galvanizada #26, esp. 0,45 mm, plotada com adesivo vinílico, afixada com rebites 4,8x40 mm, em estrutura metálica de metalon 20x20 mm, esp. 1,25 mm, inclusive suporte em eucalipto auto clavado pintado com tinta pva duas (2) demãos</v>
      </c>
      <c r="C29" s="344"/>
      <c r="D29" s="344"/>
      <c r="E29" s="344"/>
      <c r="F29" s="344"/>
      <c r="G29" s="344"/>
      <c r="H29" s="344"/>
      <c r="I29" s="344"/>
      <c r="J29" s="344"/>
      <c r="K29" s="10"/>
      <c r="L29" s="10"/>
      <c r="M29" s="10"/>
      <c r="N29" s="10"/>
      <c r="O29" s="10"/>
      <c r="P29" s="10"/>
      <c r="Q29" s="10"/>
      <c r="R29" s="10"/>
      <c r="S29" s="10"/>
      <c r="T29" s="10"/>
      <c r="U29" s="10"/>
      <c r="V29" s="10"/>
      <c r="W29" s="10"/>
      <c r="X29" s="10"/>
      <c r="Y29" s="10"/>
    </row>
    <row r="30" spans="1:25" ht="16.5" customHeight="1" x14ac:dyDescent="0.2">
      <c r="A30" s="327" t="s">
        <v>120</v>
      </c>
      <c r="B30" s="328"/>
      <c r="C30" s="328"/>
      <c r="D30" s="182" t="s">
        <v>121</v>
      </c>
      <c r="E30" s="182" t="s">
        <v>122</v>
      </c>
      <c r="F30" s="182" t="s">
        <v>123</v>
      </c>
      <c r="G30" s="182" t="s">
        <v>124</v>
      </c>
      <c r="H30" s="182" t="s">
        <v>125</v>
      </c>
      <c r="I30" s="182" t="s">
        <v>126</v>
      </c>
      <c r="J30" s="182" t="s">
        <v>113</v>
      </c>
      <c r="K30" s="10"/>
      <c r="L30" s="10"/>
      <c r="M30" s="10"/>
      <c r="N30" s="10"/>
      <c r="O30" s="10"/>
      <c r="P30" s="10"/>
      <c r="Q30" s="10"/>
      <c r="R30" s="10"/>
      <c r="S30" s="10"/>
      <c r="T30" s="10"/>
      <c r="U30" s="10"/>
      <c r="V30" s="10"/>
      <c r="W30" s="10"/>
      <c r="X30" s="10"/>
      <c r="Y30" s="10"/>
    </row>
    <row r="31" spans="1:25" ht="16.5" customHeight="1" x14ac:dyDescent="0.2">
      <c r="A31" s="316" t="s">
        <v>325</v>
      </c>
      <c r="B31" s="317"/>
      <c r="C31" s="317"/>
      <c r="D31" s="148"/>
      <c r="E31" s="148">
        <v>3</v>
      </c>
      <c r="F31" s="148">
        <v>1.5</v>
      </c>
      <c r="G31" s="148">
        <v>1</v>
      </c>
      <c r="H31" s="148"/>
      <c r="I31" s="148"/>
      <c r="J31" s="170">
        <f>PRODUCT(D31:H31)-I31</f>
        <v>4.5</v>
      </c>
      <c r="K31" s="10"/>
      <c r="L31" s="10"/>
      <c r="M31" s="10"/>
      <c r="N31" s="10"/>
      <c r="O31" s="10"/>
      <c r="P31" s="10"/>
      <c r="Q31" s="10"/>
      <c r="R31" s="10"/>
      <c r="S31" s="10"/>
      <c r="T31" s="10"/>
      <c r="U31" s="10"/>
      <c r="V31" s="10"/>
      <c r="W31" s="10"/>
      <c r="X31" s="10"/>
      <c r="Y31" s="10"/>
    </row>
    <row r="32" spans="1:25" ht="16.5" customHeight="1" x14ac:dyDescent="0.2">
      <c r="A32" s="342" t="str">
        <f>"TOTAL - "&amp;'Planilha orçamentária'!F18</f>
        <v>TOTAL - M2</v>
      </c>
      <c r="B32" s="342"/>
      <c r="C32" s="342"/>
      <c r="D32" s="342"/>
      <c r="E32" s="342"/>
      <c r="F32" s="342"/>
      <c r="G32" s="342"/>
      <c r="H32" s="342"/>
      <c r="I32" s="342"/>
      <c r="J32" s="149">
        <f>SUM(J31)</f>
        <v>4.5</v>
      </c>
      <c r="K32" s="10"/>
      <c r="L32" s="10"/>
      <c r="M32" s="10"/>
      <c r="N32" s="10"/>
      <c r="O32" s="10"/>
      <c r="P32" s="10"/>
      <c r="Q32" s="10"/>
      <c r="R32" s="10"/>
      <c r="S32" s="10"/>
      <c r="T32" s="10"/>
      <c r="U32" s="10"/>
      <c r="V32" s="10"/>
      <c r="W32" s="10"/>
      <c r="X32" s="10"/>
      <c r="Y32" s="10"/>
    </row>
    <row r="33" spans="1:25" ht="16.5" customHeight="1" x14ac:dyDescent="0.2">
      <c r="A33" s="184" t="str">
        <f>'Planilha orçamentária'!A19</f>
        <v>3.2</v>
      </c>
      <c r="B33" s="343" t="str">
        <f>'Planilha orçamentária'!D19</f>
        <v>Barracão de obra, em chapa de compensado resinado, inclusive instalações sanitárias e mobiliário - padrão der-mg</v>
      </c>
      <c r="C33" s="344"/>
      <c r="D33" s="344"/>
      <c r="E33" s="344"/>
      <c r="F33" s="344"/>
      <c r="G33" s="344"/>
      <c r="H33" s="344"/>
      <c r="I33" s="344"/>
      <c r="J33" s="344"/>
      <c r="K33" s="10"/>
      <c r="L33" s="10"/>
      <c r="M33" s="10"/>
      <c r="N33" s="10"/>
      <c r="O33" s="10"/>
      <c r="P33" s="10"/>
      <c r="Q33" s="10"/>
      <c r="R33" s="10"/>
      <c r="S33" s="10"/>
      <c r="T33" s="10"/>
      <c r="U33" s="10"/>
      <c r="V33" s="10"/>
      <c r="W33" s="10"/>
      <c r="X33" s="10"/>
      <c r="Y33" s="10"/>
    </row>
    <row r="34" spans="1:25" ht="16.5" customHeight="1" x14ac:dyDescent="0.2">
      <c r="A34" s="327" t="s">
        <v>120</v>
      </c>
      <c r="B34" s="328"/>
      <c r="C34" s="328"/>
      <c r="D34" s="182" t="s">
        <v>121</v>
      </c>
      <c r="E34" s="182" t="s">
        <v>122</v>
      </c>
      <c r="F34" s="182" t="s">
        <v>123</v>
      </c>
      <c r="G34" s="182" t="s">
        <v>124</v>
      </c>
      <c r="H34" s="182" t="s">
        <v>125</v>
      </c>
      <c r="I34" s="182" t="s">
        <v>126</v>
      </c>
      <c r="J34" s="182" t="s">
        <v>113</v>
      </c>
      <c r="K34" s="10"/>
      <c r="L34" s="10"/>
      <c r="M34" s="10"/>
      <c r="N34" s="10"/>
      <c r="O34" s="10"/>
      <c r="P34" s="10"/>
      <c r="Q34" s="10"/>
      <c r="R34" s="10"/>
      <c r="S34" s="10"/>
      <c r="T34" s="10"/>
      <c r="U34" s="10"/>
      <c r="V34" s="10"/>
      <c r="W34" s="10"/>
      <c r="X34" s="10"/>
      <c r="Y34" s="10"/>
    </row>
    <row r="35" spans="1:25" ht="16.5" customHeight="1" x14ac:dyDescent="0.2">
      <c r="A35" s="316" t="s">
        <v>494</v>
      </c>
      <c r="B35" s="317"/>
      <c r="C35" s="317"/>
      <c r="D35" s="148">
        <v>10</v>
      </c>
      <c r="E35" s="148">
        <v>5</v>
      </c>
      <c r="F35" s="148"/>
      <c r="G35" s="148"/>
      <c r="H35" s="148"/>
      <c r="I35" s="148"/>
      <c r="J35" s="170">
        <f>PRODUCT(D35:H35)-I35</f>
        <v>50</v>
      </c>
      <c r="K35" s="10"/>
      <c r="L35" s="10"/>
      <c r="M35" s="10"/>
      <c r="N35" s="10"/>
      <c r="O35" s="10"/>
      <c r="P35" s="10"/>
      <c r="Q35" s="10"/>
      <c r="R35" s="10"/>
      <c r="S35" s="10"/>
      <c r="T35" s="10"/>
      <c r="U35" s="10"/>
      <c r="V35" s="10"/>
      <c r="W35" s="10"/>
      <c r="X35" s="10"/>
      <c r="Y35" s="10"/>
    </row>
    <row r="36" spans="1:25" ht="16.5" customHeight="1" x14ac:dyDescent="0.2">
      <c r="A36" s="342" t="str">
        <f>"TOTAL - "&amp;'Planilha orçamentária'!F22</f>
        <v xml:space="preserve">TOTAL -  M </v>
      </c>
      <c r="B36" s="342"/>
      <c r="C36" s="342"/>
      <c r="D36" s="342"/>
      <c r="E36" s="342"/>
      <c r="F36" s="342"/>
      <c r="G36" s="342"/>
      <c r="H36" s="342"/>
      <c r="I36" s="342"/>
      <c r="J36" s="149">
        <f>SUM(J35)</f>
        <v>50</v>
      </c>
      <c r="K36" s="10"/>
      <c r="L36" s="10"/>
      <c r="M36" s="10"/>
      <c r="N36" s="10"/>
      <c r="O36" s="10"/>
      <c r="P36" s="10"/>
      <c r="Q36" s="10"/>
      <c r="R36" s="10"/>
      <c r="S36" s="10"/>
      <c r="T36" s="10"/>
      <c r="U36" s="10"/>
      <c r="V36" s="10"/>
      <c r="W36" s="10"/>
      <c r="X36" s="10"/>
      <c r="Y36" s="10"/>
    </row>
    <row r="37" spans="1:25" ht="25.5" customHeight="1" x14ac:dyDescent="0.2">
      <c r="A37" s="184" t="str">
        <f>'Planilha orçamentária'!A20</f>
        <v>3.3</v>
      </c>
      <c r="B37" s="343" t="str">
        <f>'Planilha orçamentária'!D20</f>
        <v>Ligação provisória com entrada de energia aérea, padrão Cemig, carga instalada de 15,1KVA até 30KVA, trifásico, com saída subterrânea, inclusive poste, caixa para medidor, disjuntor, barramento, aterramento e acessórios</v>
      </c>
      <c r="C37" s="344"/>
      <c r="D37" s="344"/>
      <c r="E37" s="344"/>
      <c r="F37" s="344"/>
      <c r="G37" s="344"/>
      <c r="H37" s="344"/>
      <c r="I37" s="344"/>
      <c r="J37" s="344"/>
      <c r="K37" s="10"/>
      <c r="L37" s="10"/>
      <c r="M37" s="10"/>
      <c r="N37" s="10"/>
      <c r="O37" s="10"/>
      <c r="P37" s="10"/>
      <c r="Q37" s="10"/>
      <c r="R37" s="10"/>
      <c r="S37" s="10"/>
      <c r="T37" s="10"/>
      <c r="U37" s="10"/>
      <c r="V37" s="10"/>
      <c r="W37" s="10"/>
      <c r="X37" s="10"/>
      <c r="Y37" s="10"/>
    </row>
    <row r="38" spans="1:25" ht="16.5" customHeight="1" x14ac:dyDescent="0.2">
      <c r="A38" s="327" t="s">
        <v>120</v>
      </c>
      <c r="B38" s="328"/>
      <c r="C38" s="328"/>
      <c r="D38" s="182" t="s">
        <v>121</v>
      </c>
      <c r="E38" s="182" t="s">
        <v>122</v>
      </c>
      <c r="F38" s="182" t="s">
        <v>123</v>
      </c>
      <c r="G38" s="182" t="s">
        <v>124</v>
      </c>
      <c r="H38" s="182" t="s">
        <v>125</v>
      </c>
      <c r="I38" s="182" t="s">
        <v>126</v>
      </c>
      <c r="J38" s="182" t="s">
        <v>113</v>
      </c>
      <c r="K38" s="10"/>
      <c r="L38" s="10"/>
      <c r="M38" s="10"/>
      <c r="N38" s="10"/>
      <c r="O38" s="10"/>
      <c r="P38" s="10"/>
      <c r="Q38" s="10"/>
      <c r="R38" s="10"/>
      <c r="S38" s="10"/>
      <c r="T38" s="10"/>
      <c r="U38" s="10"/>
      <c r="V38" s="10"/>
      <c r="W38" s="10"/>
      <c r="X38" s="10"/>
      <c r="Y38" s="10"/>
    </row>
    <row r="39" spans="1:25" ht="16.5" customHeight="1" x14ac:dyDescent="0.2">
      <c r="A39" s="316" t="s">
        <v>289</v>
      </c>
      <c r="B39" s="317"/>
      <c r="C39" s="317"/>
      <c r="D39" s="148"/>
      <c r="E39" s="148"/>
      <c r="F39" s="148"/>
      <c r="G39" s="148">
        <v>1</v>
      </c>
      <c r="H39" s="148"/>
      <c r="I39" s="148"/>
      <c r="J39" s="170">
        <f>PRODUCT(D39:H39)-I39</f>
        <v>1</v>
      </c>
      <c r="K39" s="10"/>
      <c r="L39" s="10"/>
      <c r="M39" s="10"/>
      <c r="N39" s="10"/>
      <c r="O39" s="10"/>
      <c r="P39" s="10"/>
      <c r="Q39" s="10"/>
      <c r="R39" s="10"/>
      <c r="S39" s="10"/>
      <c r="T39" s="10"/>
      <c r="U39" s="10"/>
      <c r="V39" s="10"/>
      <c r="W39" s="10"/>
      <c r="X39" s="10"/>
      <c r="Y39" s="10"/>
    </row>
    <row r="40" spans="1:25" ht="16.5" customHeight="1" x14ac:dyDescent="0.2">
      <c r="A40" s="342" t="str">
        <f>"TOTAL - "&amp;'Planilha orçamentária'!F20</f>
        <v>TOTAL -  UN</v>
      </c>
      <c r="B40" s="342"/>
      <c r="C40" s="342"/>
      <c r="D40" s="342"/>
      <c r="E40" s="342"/>
      <c r="F40" s="342"/>
      <c r="G40" s="342"/>
      <c r="H40" s="342"/>
      <c r="I40" s="342"/>
      <c r="J40" s="149">
        <f>SUM(J39)</f>
        <v>1</v>
      </c>
      <c r="K40" s="10"/>
      <c r="L40" s="10"/>
      <c r="M40" s="10"/>
      <c r="N40" s="10"/>
      <c r="O40" s="10"/>
      <c r="P40" s="10"/>
      <c r="Q40" s="10"/>
      <c r="R40" s="10"/>
      <c r="S40" s="10"/>
      <c r="T40" s="10"/>
      <c r="U40" s="10"/>
      <c r="V40" s="10"/>
      <c r="W40" s="10"/>
      <c r="X40" s="10"/>
      <c r="Y40" s="10"/>
    </row>
    <row r="41" spans="1:25" ht="28.9" customHeight="1" x14ac:dyDescent="0.2">
      <c r="A41" s="184" t="str">
        <f>'Planilha orçamentária'!A21</f>
        <v>3.4</v>
      </c>
      <c r="B41" s="343" t="str">
        <f>'Planilha orçamentária'!D21</f>
        <v>Ligação de água provisória para canteiro, inclusive hidrômetro e cavalete para medição de água - entrada principal, em aço galvanizado DN 20mm (1/2") - padrão concessionária</v>
      </c>
      <c r="C41" s="344"/>
      <c r="D41" s="344"/>
      <c r="E41" s="344"/>
      <c r="F41" s="344"/>
      <c r="G41" s="344"/>
      <c r="H41" s="344"/>
      <c r="I41" s="344"/>
      <c r="J41" s="344"/>
      <c r="K41" s="10"/>
      <c r="L41" s="10"/>
      <c r="M41" s="10"/>
      <c r="N41" s="10"/>
      <c r="O41" s="10"/>
      <c r="P41" s="10"/>
      <c r="Q41" s="10"/>
      <c r="R41" s="10"/>
      <c r="S41" s="10"/>
      <c r="T41" s="10"/>
      <c r="U41" s="10"/>
      <c r="V41" s="10"/>
      <c r="W41" s="10"/>
      <c r="X41" s="10"/>
      <c r="Y41" s="10"/>
    </row>
    <row r="42" spans="1:25" ht="16.5" customHeight="1" x14ac:dyDescent="0.2">
      <c r="A42" s="327" t="s">
        <v>120</v>
      </c>
      <c r="B42" s="328"/>
      <c r="C42" s="328"/>
      <c r="D42" s="182" t="s">
        <v>121</v>
      </c>
      <c r="E42" s="182" t="s">
        <v>122</v>
      </c>
      <c r="F42" s="182" t="s">
        <v>123</v>
      </c>
      <c r="G42" s="182" t="s">
        <v>124</v>
      </c>
      <c r="H42" s="182" t="s">
        <v>125</v>
      </c>
      <c r="I42" s="182" t="s">
        <v>126</v>
      </c>
      <c r="J42" s="182" t="s">
        <v>113</v>
      </c>
      <c r="K42" s="10"/>
      <c r="L42" s="10"/>
      <c r="M42" s="10"/>
      <c r="N42" s="10"/>
      <c r="O42" s="10"/>
      <c r="P42" s="10"/>
      <c r="Q42" s="10"/>
      <c r="R42" s="10"/>
      <c r="S42" s="10"/>
      <c r="T42" s="10"/>
      <c r="U42" s="10"/>
      <c r="V42" s="10"/>
      <c r="W42" s="10"/>
      <c r="X42" s="10"/>
      <c r="Y42" s="10"/>
    </row>
    <row r="43" spans="1:25" ht="16.5" customHeight="1" x14ac:dyDescent="0.2">
      <c r="A43" s="316" t="s">
        <v>290</v>
      </c>
      <c r="B43" s="317"/>
      <c r="C43" s="317"/>
      <c r="D43" s="148"/>
      <c r="E43" s="148"/>
      <c r="F43" s="148"/>
      <c r="G43" s="148">
        <v>1</v>
      </c>
      <c r="H43" s="148"/>
      <c r="I43" s="148"/>
      <c r="J43" s="170">
        <f>PRODUCT(D43:H43)-I43</f>
        <v>1</v>
      </c>
      <c r="K43" s="10"/>
      <c r="L43" s="10"/>
      <c r="M43" s="10"/>
      <c r="N43" s="10"/>
      <c r="O43" s="10"/>
      <c r="P43" s="10"/>
      <c r="Q43" s="10"/>
      <c r="R43" s="10"/>
      <c r="S43" s="10"/>
      <c r="T43" s="10"/>
      <c r="U43" s="10"/>
      <c r="V43" s="10"/>
      <c r="W43" s="10"/>
      <c r="X43" s="10"/>
      <c r="Y43" s="10"/>
    </row>
    <row r="44" spans="1:25" ht="16.5" customHeight="1" x14ac:dyDescent="0.2">
      <c r="A44" s="342" t="str">
        <f>"TOTAL - "&amp;'Planilha orçamentária'!F21</f>
        <v>TOTAL -  UN</v>
      </c>
      <c r="B44" s="342"/>
      <c r="C44" s="342"/>
      <c r="D44" s="342"/>
      <c r="E44" s="342"/>
      <c r="F44" s="342"/>
      <c r="G44" s="342"/>
      <c r="H44" s="342"/>
      <c r="I44" s="342"/>
      <c r="J44" s="149">
        <f>SUM(J43)</f>
        <v>1</v>
      </c>
      <c r="K44" s="10"/>
      <c r="L44" s="10"/>
      <c r="M44" s="10"/>
      <c r="N44" s="10"/>
      <c r="O44" s="10"/>
      <c r="P44" s="10"/>
      <c r="Q44" s="10"/>
      <c r="R44" s="10"/>
      <c r="S44" s="10"/>
      <c r="T44" s="10"/>
      <c r="U44" s="10"/>
      <c r="V44" s="10"/>
      <c r="W44" s="10"/>
      <c r="X44" s="10"/>
      <c r="Y44" s="10"/>
    </row>
    <row r="45" spans="1:25" ht="16.5" customHeight="1" x14ac:dyDescent="0.2">
      <c r="A45" s="184" t="str">
        <f>'Planilha orçamentária'!A22</f>
        <v>3.5</v>
      </c>
      <c r="B45" s="343" t="str">
        <f>'Planilha orçamentária'!D22</f>
        <v>Andaime em cavalete metálico para alvenaria, com chapa de compensado e tábua, com reaproveitamento, inclusive montagem/desmontagem e remanejamento</v>
      </c>
      <c r="C45" s="344"/>
      <c r="D45" s="344"/>
      <c r="E45" s="344"/>
      <c r="F45" s="344"/>
      <c r="G45" s="344"/>
      <c r="H45" s="344"/>
      <c r="I45" s="344"/>
      <c r="J45" s="344"/>
      <c r="K45" s="10"/>
      <c r="L45" s="10"/>
      <c r="M45" s="10"/>
      <c r="N45" s="10"/>
      <c r="O45" s="10"/>
      <c r="P45" s="10"/>
      <c r="Q45" s="10"/>
      <c r="R45" s="10"/>
      <c r="S45" s="10"/>
      <c r="T45" s="10"/>
      <c r="U45" s="10"/>
      <c r="V45" s="10"/>
      <c r="W45" s="10"/>
      <c r="X45" s="10"/>
      <c r="Y45" s="10"/>
    </row>
    <row r="46" spans="1:25" ht="16.5" customHeight="1" x14ac:dyDescent="0.2">
      <c r="A46" s="327" t="s">
        <v>120</v>
      </c>
      <c r="B46" s="328"/>
      <c r="C46" s="328"/>
      <c r="D46" s="182" t="s">
        <v>121</v>
      </c>
      <c r="E46" s="182" t="s">
        <v>122</v>
      </c>
      <c r="F46" s="182" t="s">
        <v>123</v>
      </c>
      <c r="G46" s="182" t="s">
        <v>124</v>
      </c>
      <c r="H46" s="182" t="s">
        <v>125</v>
      </c>
      <c r="I46" s="182" t="s">
        <v>126</v>
      </c>
      <c r="J46" s="182" t="s">
        <v>113</v>
      </c>
      <c r="K46" s="10"/>
      <c r="L46" s="10"/>
      <c r="M46" s="10"/>
      <c r="N46" s="10"/>
      <c r="O46" s="10"/>
      <c r="P46" s="10"/>
      <c r="Q46" s="10"/>
      <c r="R46" s="10"/>
      <c r="S46" s="10"/>
      <c r="T46" s="10"/>
      <c r="U46" s="10"/>
      <c r="V46" s="10"/>
      <c r="W46" s="10"/>
      <c r="X46" s="10"/>
      <c r="Y46" s="10"/>
    </row>
    <row r="47" spans="1:25" ht="16.5" customHeight="1" x14ac:dyDescent="0.2">
      <c r="A47" s="316" t="s">
        <v>326</v>
      </c>
      <c r="B47" s="317"/>
      <c r="C47" s="317"/>
      <c r="D47" s="148">
        <v>5</v>
      </c>
      <c r="E47" s="148"/>
      <c r="F47" s="148"/>
      <c r="G47" s="148">
        <v>100</v>
      </c>
      <c r="H47" s="148"/>
      <c r="I47" s="148"/>
      <c r="J47" s="170">
        <f>PRODUCT(D47:H47)-I47</f>
        <v>500</v>
      </c>
      <c r="K47" s="10"/>
      <c r="L47" s="10"/>
      <c r="M47" s="10"/>
      <c r="N47" s="10"/>
      <c r="O47" s="10"/>
      <c r="P47" s="10"/>
      <c r="Q47" s="10"/>
      <c r="R47" s="10"/>
      <c r="S47" s="10"/>
      <c r="T47" s="10"/>
      <c r="U47" s="10"/>
      <c r="V47" s="10"/>
      <c r="W47" s="10"/>
      <c r="X47" s="10"/>
      <c r="Y47" s="10"/>
    </row>
    <row r="48" spans="1:25" ht="16.5" customHeight="1" x14ac:dyDescent="0.2">
      <c r="A48" s="342" t="str">
        <f>"TOTAL - "&amp;'Planilha orçamentária'!F22</f>
        <v xml:space="preserve">TOTAL -  M </v>
      </c>
      <c r="B48" s="342"/>
      <c r="C48" s="342"/>
      <c r="D48" s="342"/>
      <c r="E48" s="342"/>
      <c r="F48" s="342"/>
      <c r="G48" s="342"/>
      <c r="H48" s="342"/>
      <c r="I48" s="342"/>
      <c r="J48" s="149">
        <f>SUM(J47)</f>
        <v>500</v>
      </c>
      <c r="K48" s="10"/>
      <c r="L48" s="10"/>
      <c r="M48" s="10"/>
      <c r="N48" s="10"/>
      <c r="O48" s="10"/>
      <c r="P48" s="10"/>
      <c r="Q48" s="10"/>
      <c r="R48" s="10"/>
      <c r="S48" s="10"/>
      <c r="T48" s="10"/>
      <c r="U48" s="10"/>
      <c r="V48" s="10"/>
      <c r="W48" s="10"/>
      <c r="X48" s="10"/>
      <c r="Y48" s="10"/>
    </row>
    <row r="49" spans="1:25" ht="16.5" customHeight="1" x14ac:dyDescent="0.2">
      <c r="A49" s="35">
        <f>'Planilha orçamentária'!A24</f>
        <v>4</v>
      </c>
      <c r="B49" s="397" t="str">
        <f>'Planilha orçamentária'!D24</f>
        <v>LOCAÇÃO DE OBRA</v>
      </c>
      <c r="C49" s="393"/>
      <c r="D49" s="393"/>
      <c r="E49" s="393"/>
      <c r="F49" s="393"/>
      <c r="G49" s="393"/>
      <c r="H49" s="393"/>
      <c r="I49" s="393"/>
      <c r="J49" s="393"/>
      <c r="K49" s="10"/>
      <c r="L49" s="10"/>
      <c r="M49" s="10"/>
      <c r="N49" s="10"/>
      <c r="O49" s="10"/>
      <c r="P49" s="10"/>
      <c r="Q49" s="10"/>
      <c r="R49" s="10"/>
      <c r="S49" s="10"/>
      <c r="T49" s="10"/>
      <c r="U49" s="10"/>
      <c r="V49" s="10"/>
      <c r="W49" s="10"/>
      <c r="X49" s="10"/>
      <c r="Y49" s="10"/>
    </row>
    <row r="50" spans="1:25" ht="25.5" customHeight="1" x14ac:dyDescent="0.2">
      <c r="A50" s="184" t="str">
        <f>'Planilha orçamentária'!A25</f>
        <v>4.1</v>
      </c>
      <c r="B50" s="343" t="str">
        <f>'Planilha orçamentária'!D25</f>
        <v>Locação de obra com gabarito de tábuas corridas pontaletadas a cada 2,00m, reaproveitamento (2x), inclusive acompanhamento de equipe topográfica para marcação de ponto topográfico</v>
      </c>
      <c r="C50" s="344"/>
      <c r="D50" s="344"/>
      <c r="E50" s="344"/>
      <c r="F50" s="344"/>
      <c r="G50" s="344"/>
      <c r="H50" s="344"/>
      <c r="I50" s="344"/>
      <c r="J50" s="344"/>
      <c r="K50" s="10"/>
      <c r="L50" s="10"/>
      <c r="M50" s="10"/>
      <c r="N50" s="10"/>
      <c r="O50" s="10"/>
      <c r="P50" s="10"/>
      <c r="Q50" s="10"/>
      <c r="R50" s="10"/>
      <c r="S50" s="10"/>
      <c r="T50" s="10"/>
      <c r="U50" s="10"/>
      <c r="V50" s="10"/>
      <c r="W50" s="10"/>
      <c r="X50" s="10"/>
      <c r="Y50" s="10"/>
    </row>
    <row r="51" spans="1:25" ht="16.5" customHeight="1" x14ac:dyDescent="0.2">
      <c r="A51" s="327" t="s">
        <v>120</v>
      </c>
      <c r="B51" s="328"/>
      <c r="C51" s="328"/>
      <c r="D51" s="182" t="s">
        <v>121</v>
      </c>
      <c r="E51" s="182" t="s">
        <v>122</v>
      </c>
      <c r="F51" s="182" t="s">
        <v>123</v>
      </c>
      <c r="G51" s="182" t="s">
        <v>124</v>
      </c>
      <c r="H51" s="182" t="s">
        <v>125</v>
      </c>
      <c r="I51" s="182" t="s">
        <v>126</v>
      </c>
      <c r="J51" s="182" t="s">
        <v>113</v>
      </c>
      <c r="K51" s="10"/>
      <c r="L51" s="10"/>
      <c r="M51" s="10"/>
      <c r="N51" s="10"/>
      <c r="O51" s="10"/>
      <c r="P51" s="10"/>
      <c r="Q51" s="10"/>
      <c r="R51" s="10"/>
      <c r="S51" s="10"/>
      <c r="T51" s="10"/>
      <c r="U51" s="10"/>
      <c r="V51" s="10"/>
      <c r="W51" s="10"/>
      <c r="X51" s="10"/>
      <c r="Y51" s="10"/>
    </row>
    <row r="52" spans="1:25" ht="16.5" customHeight="1" x14ac:dyDescent="0.2">
      <c r="A52" s="316" t="s">
        <v>434</v>
      </c>
      <c r="B52" s="317"/>
      <c r="C52" s="317"/>
      <c r="D52" s="148">
        <f t="shared" ref="D52:D58" si="0">15.38+2+15.38+2+19.09*2</f>
        <v>72.94</v>
      </c>
      <c r="E52" s="148"/>
      <c r="F52" s="148"/>
      <c r="G52" s="148"/>
      <c r="H52" s="148"/>
      <c r="I52" s="148"/>
      <c r="J52" s="170">
        <f t="shared" ref="J52:J57" si="1">PRODUCT(D52:H52)-I52</f>
        <v>72.94</v>
      </c>
      <c r="K52" s="10"/>
      <c r="L52" s="10"/>
      <c r="M52" s="10"/>
      <c r="N52" s="10"/>
      <c r="O52" s="10"/>
      <c r="P52" s="10"/>
      <c r="Q52" s="10"/>
      <c r="R52" s="10"/>
      <c r="S52" s="10"/>
      <c r="T52" s="10"/>
      <c r="U52" s="10"/>
      <c r="V52" s="10"/>
      <c r="W52" s="10"/>
      <c r="X52" s="10"/>
      <c r="Y52" s="10"/>
    </row>
    <row r="53" spans="1:25" ht="16.5" customHeight="1" x14ac:dyDescent="0.2">
      <c r="A53" s="316" t="s">
        <v>435</v>
      </c>
      <c r="B53" s="317"/>
      <c r="C53" s="317"/>
      <c r="D53" s="148">
        <f t="shared" si="0"/>
        <v>72.94</v>
      </c>
      <c r="E53" s="148"/>
      <c r="F53" s="148"/>
      <c r="G53" s="148"/>
      <c r="H53" s="148"/>
      <c r="I53" s="148"/>
      <c r="J53" s="170">
        <f t="shared" si="1"/>
        <v>72.94</v>
      </c>
      <c r="K53" s="10"/>
      <c r="L53" s="10"/>
      <c r="M53" s="10"/>
      <c r="N53" s="10"/>
      <c r="O53" s="10"/>
      <c r="P53" s="10"/>
      <c r="Q53" s="10"/>
      <c r="R53" s="10"/>
      <c r="S53" s="10"/>
      <c r="T53" s="10"/>
      <c r="U53" s="10"/>
      <c r="V53" s="10"/>
      <c r="W53" s="10"/>
      <c r="X53" s="10"/>
      <c r="Y53" s="10"/>
    </row>
    <row r="54" spans="1:25" ht="16.5" customHeight="1" x14ac:dyDescent="0.2">
      <c r="A54" s="316" t="s">
        <v>436</v>
      </c>
      <c r="B54" s="317"/>
      <c r="C54" s="317"/>
      <c r="D54" s="148">
        <f t="shared" si="0"/>
        <v>72.94</v>
      </c>
      <c r="E54" s="148"/>
      <c r="F54" s="148"/>
      <c r="G54" s="148"/>
      <c r="H54" s="148"/>
      <c r="I54" s="148"/>
      <c r="J54" s="170">
        <f t="shared" si="1"/>
        <v>72.94</v>
      </c>
      <c r="K54" s="10"/>
      <c r="L54" s="10"/>
      <c r="M54" s="10"/>
      <c r="N54" s="10"/>
      <c r="O54" s="10"/>
      <c r="P54" s="10"/>
      <c r="Q54" s="10"/>
      <c r="R54" s="10"/>
      <c r="S54" s="10"/>
      <c r="T54" s="10"/>
      <c r="U54" s="10"/>
      <c r="V54" s="10"/>
      <c r="W54" s="10"/>
      <c r="X54" s="10"/>
      <c r="Y54" s="10"/>
    </row>
    <row r="55" spans="1:25" ht="16.5" customHeight="1" x14ac:dyDescent="0.2">
      <c r="A55" s="316" t="s">
        <v>437</v>
      </c>
      <c r="B55" s="317"/>
      <c r="C55" s="317"/>
      <c r="D55" s="148">
        <f t="shared" si="0"/>
        <v>72.94</v>
      </c>
      <c r="E55" s="148"/>
      <c r="F55" s="148"/>
      <c r="G55" s="148"/>
      <c r="H55" s="148"/>
      <c r="I55" s="148"/>
      <c r="J55" s="170">
        <f t="shared" si="1"/>
        <v>72.94</v>
      </c>
      <c r="K55" s="10"/>
      <c r="L55" s="10"/>
      <c r="M55" s="10"/>
      <c r="N55" s="10"/>
      <c r="O55" s="10"/>
      <c r="P55" s="10"/>
      <c r="Q55" s="10"/>
      <c r="R55" s="10"/>
      <c r="S55" s="10"/>
      <c r="T55" s="10"/>
      <c r="U55" s="10"/>
      <c r="V55" s="10"/>
      <c r="W55" s="10"/>
      <c r="X55" s="10"/>
      <c r="Y55" s="10"/>
    </row>
    <row r="56" spans="1:25" ht="16.5" customHeight="1" x14ac:dyDescent="0.2">
      <c r="A56" s="316" t="s">
        <v>438</v>
      </c>
      <c r="B56" s="317"/>
      <c r="C56" s="317"/>
      <c r="D56" s="148">
        <f t="shared" si="0"/>
        <v>72.94</v>
      </c>
      <c r="E56" s="148"/>
      <c r="F56" s="148"/>
      <c r="G56" s="148"/>
      <c r="H56" s="148"/>
      <c r="I56" s="148"/>
      <c r="J56" s="170">
        <f t="shared" si="1"/>
        <v>72.94</v>
      </c>
      <c r="K56" s="10"/>
      <c r="L56" s="10"/>
      <c r="M56" s="10"/>
      <c r="N56" s="10"/>
      <c r="O56" s="10"/>
      <c r="P56" s="10"/>
      <c r="Q56" s="10"/>
      <c r="R56" s="10"/>
      <c r="S56" s="10"/>
      <c r="T56" s="10"/>
      <c r="U56" s="10"/>
      <c r="V56" s="10"/>
      <c r="W56" s="10"/>
      <c r="X56" s="10"/>
      <c r="Y56" s="10"/>
    </row>
    <row r="57" spans="1:25" ht="16.5" customHeight="1" x14ac:dyDescent="0.2">
      <c r="A57" s="316" t="s">
        <v>439</v>
      </c>
      <c r="B57" s="317"/>
      <c r="C57" s="317"/>
      <c r="D57" s="148">
        <f t="shared" si="0"/>
        <v>72.94</v>
      </c>
      <c r="E57" s="148"/>
      <c r="F57" s="148"/>
      <c r="G57" s="148"/>
      <c r="H57" s="148"/>
      <c r="I57" s="148"/>
      <c r="J57" s="170">
        <f t="shared" si="1"/>
        <v>72.94</v>
      </c>
      <c r="K57" s="10"/>
      <c r="L57" s="10"/>
      <c r="M57" s="10"/>
      <c r="N57" s="10"/>
      <c r="O57" s="10"/>
      <c r="P57" s="10"/>
      <c r="Q57" s="10"/>
      <c r="R57" s="10"/>
      <c r="S57" s="10"/>
      <c r="T57" s="10"/>
      <c r="U57" s="10"/>
      <c r="V57" s="10"/>
      <c r="W57" s="10"/>
      <c r="X57" s="10"/>
      <c r="Y57" s="10"/>
    </row>
    <row r="58" spans="1:25" ht="16.5" customHeight="1" x14ac:dyDescent="0.2">
      <c r="A58" s="316" t="s">
        <v>649</v>
      </c>
      <c r="B58" s="317"/>
      <c r="C58" s="317"/>
      <c r="D58" s="148">
        <f t="shared" si="0"/>
        <v>72.94</v>
      </c>
      <c r="E58" s="148"/>
      <c r="F58" s="148"/>
      <c r="G58" s="148"/>
      <c r="H58" s="148"/>
      <c r="I58" s="148"/>
      <c r="J58" s="170">
        <f t="shared" ref="J58" si="2">PRODUCT(D58:H58)-I58</f>
        <v>72.94</v>
      </c>
      <c r="K58" s="10"/>
      <c r="L58" s="10"/>
      <c r="M58" s="10"/>
      <c r="N58" s="10"/>
      <c r="O58" s="10"/>
      <c r="P58" s="10"/>
      <c r="Q58" s="10"/>
      <c r="R58" s="10"/>
      <c r="S58" s="10"/>
      <c r="T58" s="10"/>
      <c r="U58" s="10"/>
      <c r="V58" s="10"/>
      <c r="W58" s="10"/>
      <c r="X58" s="10"/>
      <c r="Y58" s="10"/>
    </row>
    <row r="59" spans="1:25" ht="16.5" customHeight="1" x14ac:dyDescent="0.2">
      <c r="A59" s="342" t="str">
        <f>"TOTAL - "&amp;'Planilha orçamentária'!F25</f>
        <v>TOTAL - M</v>
      </c>
      <c r="B59" s="342"/>
      <c r="C59" s="342"/>
      <c r="D59" s="342"/>
      <c r="E59" s="342"/>
      <c r="F59" s="342"/>
      <c r="G59" s="342"/>
      <c r="H59" s="342"/>
      <c r="I59" s="342"/>
      <c r="J59" s="149">
        <f>SUM(J52:J58)</f>
        <v>510.58</v>
      </c>
      <c r="K59" s="10"/>
      <c r="L59" s="10"/>
      <c r="M59" s="10"/>
      <c r="N59" s="10"/>
      <c r="O59" s="10"/>
      <c r="P59" s="10"/>
      <c r="Q59" s="10"/>
      <c r="R59" s="10"/>
      <c r="S59" s="10"/>
      <c r="T59" s="10"/>
      <c r="U59" s="10"/>
      <c r="V59" s="10"/>
      <c r="W59" s="10"/>
      <c r="X59" s="10"/>
      <c r="Y59" s="10"/>
    </row>
    <row r="60" spans="1:25" ht="16.5" customHeight="1" x14ac:dyDescent="0.2">
      <c r="A60" s="35">
        <f>'Planilha orçamentária'!A27</f>
        <v>5</v>
      </c>
      <c r="B60" s="397" t="str">
        <f>'Planilha orçamentária'!D27</f>
        <v>MOVIMENTAÇÃO DE TERRA</v>
      </c>
      <c r="C60" s="393"/>
      <c r="D60" s="393"/>
      <c r="E60" s="393"/>
      <c r="F60" s="393"/>
      <c r="G60" s="393"/>
      <c r="H60" s="393"/>
      <c r="I60" s="393"/>
      <c r="J60" s="393"/>
      <c r="K60" s="10"/>
      <c r="L60" s="10"/>
      <c r="M60" s="10"/>
      <c r="N60" s="10"/>
      <c r="O60" s="10"/>
      <c r="P60" s="10"/>
      <c r="Q60" s="10"/>
      <c r="R60" s="10"/>
      <c r="S60" s="10"/>
      <c r="T60" s="10"/>
      <c r="U60" s="10"/>
      <c r="V60" s="10"/>
      <c r="W60" s="10"/>
      <c r="X60" s="10"/>
      <c r="Y60" s="10"/>
    </row>
    <row r="61" spans="1:25" ht="16.5" customHeight="1" x14ac:dyDescent="0.2">
      <c r="A61" s="184" t="str">
        <f>'Planilha orçamentária'!A28</f>
        <v>5.1</v>
      </c>
      <c r="B61" s="343" t="str">
        <f>'Planilha orçamentária'!D28</f>
        <v>Escavação manual de vala com profundidade menor ou igual a 1,5m</v>
      </c>
      <c r="C61" s="344"/>
      <c r="D61" s="344"/>
      <c r="E61" s="344"/>
      <c r="F61" s="344"/>
      <c r="G61" s="344"/>
      <c r="H61" s="344"/>
      <c r="I61" s="344"/>
      <c r="J61" s="344"/>
      <c r="K61" s="10"/>
      <c r="L61" s="10"/>
      <c r="M61" s="10"/>
      <c r="N61" s="10"/>
      <c r="O61" s="10"/>
      <c r="P61" s="10"/>
      <c r="Q61" s="10"/>
      <c r="R61" s="10"/>
      <c r="S61" s="10"/>
      <c r="T61" s="10"/>
      <c r="U61" s="10"/>
      <c r="V61" s="10"/>
      <c r="W61" s="10"/>
      <c r="X61" s="10"/>
      <c r="Y61" s="10"/>
    </row>
    <row r="62" spans="1:25" ht="16.5" customHeight="1" x14ac:dyDescent="0.2">
      <c r="A62" s="327" t="s">
        <v>120</v>
      </c>
      <c r="B62" s="328"/>
      <c r="C62" s="328"/>
      <c r="D62" s="182" t="s">
        <v>121</v>
      </c>
      <c r="E62" s="182" t="s">
        <v>122</v>
      </c>
      <c r="F62" s="182" t="s">
        <v>123</v>
      </c>
      <c r="G62" s="182" t="s">
        <v>124</v>
      </c>
      <c r="H62" s="182" t="s">
        <v>317</v>
      </c>
      <c r="I62" s="182" t="s">
        <v>126</v>
      </c>
      <c r="J62" s="182" t="s">
        <v>113</v>
      </c>
      <c r="K62" s="10"/>
      <c r="L62" s="10"/>
      <c r="M62" s="10"/>
      <c r="N62" s="10"/>
      <c r="O62" s="10"/>
      <c r="P62" s="10"/>
      <c r="Q62" s="10"/>
      <c r="R62" s="10"/>
      <c r="S62" s="10"/>
      <c r="T62" s="10"/>
      <c r="U62" s="10"/>
      <c r="V62" s="10"/>
      <c r="W62" s="10"/>
      <c r="X62" s="10"/>
      <c r="Y62" s="10"/>
    </row>
    <row r="63" spans="1:25" ht="16.5" customHeight="1" x14ac:dyDescent="0.2">
      <c r="A63" s="316" t="s">
        <v>650</v>
      </c>
      <c r="B63" s="317"/>
      <c r="C63" s="317"/>
      <c r="D63" s="148">
        <v>0.6</v>
      </c>
      <c r="E63" s="148">
        <v>0.6</v>
      </c>
      <c r="F63" s="148">
        <v>0.6</v>
      </c>
      <c r="G63" s="148">
        <f>28*7</f>
        <v>196</v>
      </c>
      <c r="H63" s="148"/>
      <c r="I63" s="148"/>
      <c r="J63" s="170">
        <f>PRODUCT(D63:H63)-I63</f>
        <v>42.335999999999999</v>
      </c>
      <c r="K63" s="10"/>
      <c r="L63" s="10"/>
      <c r="M63" s="10"/>
      <c r="N63" s="10"/>
      <c r="O63" s="10"/>
      <c r="P63" s="10"/>
      <c r="Q63" s="10"/>
      <c r="R63" s="10"/>
      <c r="S63" s="10"/>
      <c r="T63" s="10"/>
      <c r="U63" s="10"/>
      <c r="V63" s="10"/>
      <c r="W63" s="10"/>
      <c r="X63" s="10"/>
      <c r="Y63" s="10"/>
    </row>
    <row r="64" spans="1:25" ht="25.5" customHeight="1" x14ac:dyDescent="0.2">
      <c r="A64" s="316" t="s">
        <v>651</v>
      </c>
      <c r="B64" s="317"/>
      <c r="C64" s="317"/>
      <c r="D64" s="148"/>
      <c r="E64" s="148"/>
      <c r="F64" s="148"/>
      <c r="G64" s="148">
        <v>7</v>
      </c>
      <c r="H64" s="148">
        <f>6.36+4.71+1.03</f>
        <v>12.1</v>
      </c>
      <c r="I64" s="148"/>
      <c r="J64" s="170">
        <f>PRODUCT(D64:H64)-I64</f>
        <v>84.7</v>
      </c>
      <c r="K64" s="10"/>
      <c r="L64" s="10"/>
      <c r="M64" s="10"/>
      <c r="N64" s="10"/>
      <c r="O64" s="10"/>
      <c r="P64" s="10"/>
      <c r="Q64" s="10"/>
      <c r="R64" s="10"/>
      <c r="S64" s="10"/>
      <c r="T64" s="10"/>
      <c r="U64" s="10"/>
      <c r="V64" s="10"/>
      <c r="W64" s="10"/>
      <c r="X64" s="10"/>
      <c r="Y64" s="10"/>
    </row>
    <row r="65" spans="1:25" ht="16.5" customHeight="1" x14ac:dyDescent="0.2">
      <c r="A65" s="342" t="str">
        <f>"TOTAL - "&amp;'Planilha orçamentária'!F28</f>
        <v>TOTAL - M3</v>
      </c>
      <c r="B65" s="342"/>
      <c r="C65" s="342"/>
      <c r="D65" s="342"/>
      <c r="E65" s="342"/>
      <c r="F65" s="342"/>
      <c r="G65" s="342"/>
      <c r="H65" s="342"/>
      <c r="I65" s="342"/>
      <c r="J65" s="149">
        <f>SUM(J63:J64)</f>
        <v>127.036</v>
      </c>
      <c r="K65" s="10"/>
      <c r="L65" s="10"/>
      <c r="M65" s="10"/>
      <c r="N65" s="10"/>
      <c r="O65" s="10"/>
      <c r="P65" s="10"/>
      <c r="Q65" s="10"/>
      <c r="R65" s="10"/>
      <c r="S65" s="10"/>
      <c r="T65" s="10"/>
      <c r="U65" s="10"/>
      <c r="V65" s="10"/>
      <c r="W65" s="10"/>
      <c r="X65" s="10"/>
      <c r="Y65" s="10"/>
    </row>
    <row r="66" spans="1:25" ht="16.5" customHeight="1" x14ac:dyDescent="0.2">
      <c r="A66" s="35">
        <f>'Planilha orçamentária'!A30</f>
        <v>6</v>
      </c>
      <c r="B66" s="397" t="str">
        <f>'Planilha orçamentária'!D30</f>
        <v>INFRAESTRUTURA E SUPERESTRUTURA</v>
      </c>
      <c r="C66" s="393"/>
      <c r="D66" s="393"/>
      <c r="E66" s="393"/>
      <c r="F66" s="393"/>
      <c r="G66" s="393"/>
      <c r="H66" s="393"/>
      <c r="I66" s="393"/>
      <c r="J66" s="393"/>
      <c r="K66" s="10"/>
      <c r="L66" s="10"/>
      <c r="M66" s="10"/>
      <c r="N66" s="10"/>
      <c r="O66" s="10"/>
      <c r="P66" s="10"/>
      <c r="Q66" s="10"/>
      <c r="R66" s="10"/>
      <c r="S66" s="10"/>
      <c r="T66" s="10"/>
      <c r="U66" s="10"/>
      <c r="V66" s="10"/>
      <c r="W66" s="10"/>
      <c r="X66" s="10"/>
      <c r="Y66" s="10"/>
    </row>
    <row r="67" spans="1:25" ht="16.5" customHeight="1" x14ac:dyDescent="0.2">
      <c r="A67" s="184" t="str">
        <f>'Planilha orçamentária'!A31</f>
        <v>6.1</v>
      </c>
      <c r="B67" s="343" t="str">
        <f>'Planilha orçamentária'!D31</f>
        <v xml:space="preserve">Mobilização e desmobilização de equipamento para estaca tipo trado rotativo </v>
      </c>
      <c r="C67" s="344"/>
      <c r="D67" s="344"/>
      <c r="E67" s="344"/>
      <c r="F67" s="344"/>
      <c r="G67" s="344"/>
      <c r="H67" s="344"/>
      <c r="I67" s="344"/>
      <c r="J67" s="344"/>
      <c r="K67" s="10"/>
      <c r="L67" s="10"/>
      <c r="M67" s="10"/>
      <c r="N67" s="10"/>
      <c r="O67" s="10"/>
      <c r="P67" s="10"/>
      <c r="Q67" s="10"/>
      <c r="R67" s="10"/>
      <c r="S67" s="10"/>
      <c r="T67" s="10"/>
      <c r="U67" s="10"/>
      <c r="V67" s="10"/>
      <c r="W67" s="10"/>
      <c r="X67" s="10"/>
      <c r="Y67" s="10"/>
    </row>
    <row r="68" spans="1:25" ht="16.5" customHeight="1" x14ac:dyDescent="0.2">
      <c r="A68" s="327" t="s">
        <v>120</v>
      </c>
      <c r="B68" s="328"/>
      <c r="C68" s="328"/>
      <c r="D68" s="182" t="s">
        <v>121</v>
      </c>
      <c r="E68" s="182" t="s">
        <v>122</v>
      </c>
      <c r="F68" s="182" t="s">
        <v>123</v>
      </c>
      <c r="G68" s="182" t="s">
        <v>124</v>
      </c>
      <c r="H68" s="182" t="s">
        <v>125</v>
      </c>
      <c r="I68" s="182" t="s">
        <v>126</v>
      </c>
      <c r="J68" s="182" t="s">
        <v>113</v>
      </c>
      <c r="K68" s="10"/>
      <c r="L68" s="10"/>
      <c r="M68" s="10"/>
      <c r="N68" s="10"/>
      <c r="O68" s="10"/>
      <c r="P68" s="10"/>
      <c r="Q68" s="10"/>
      <c r="R68" s="10"/>
      <c r="S68" s="10"/>
      <c r="T68" s="10"/>
      <c r="U68" s="10"/>
      <c r="V68" s="10"/>
      <c r="W68" s="10"/>
      <c r="X68" s="10"/>
      <c r="Y68" s="10"/>
    </row>
    <row r="69" spans="1:25" ht="16.5" customHeight="1" x14ac:dyDescent="0.2">
      <c r="A69" s="316" t="s">
        <v>291</v>
      </c>
      <c r="B69" s="317"/>
      <c r="C69" s="317"/>
      <c r="D69" s="148"/>
      <c r="E69" s="148"/>
      <c r="F69" s="148"/>
      <c r="G69" s="148">
        <v>50</v>
      </c>
      <c r="H69" s="148"/>
      <c r="I69" s="148"/>
      <c r="J69" s="170">
        <f>PRODUCT(D69:H69)-I69</f>
        <v>50</v>
      </c>
      <c r="K69" s="10"/>
      <c r="L69" s="10"/>
      <c r="M69" s="10"/>
      <c r="N69" s="10"/>
      <c r="O69" s="10"/>
      <c r="P69" s="10"/>
      <c r="Q69" s="10"/>
      <c r="R69" s="10"/>
      <c r="S69" s="10"/>
      <c r="T69" s="10"/>
      <c r="U69" s="10"/>
      <c r="V69" s="10"/>
      <c r="W69" s="10"/>
      <c r="X69" s="10"/>
      <c r="Y69" s="10"/>
    </row>
    <row r="70" spans="1:25" ht="16.5" customHeight="1" x14ac:dyDescent="0.2">
      <c r="A70" s="342" t="str">
        <f>"TOTAL - "&amp;'Planilha orçamentária'!F31</f>
        <v>TOTAL - KM</v>
      </c>
      <c r="B70" s="342"/>
      <c r="C70" s="342"/>
      <c r="D70" s="342"/>
      <c r="E70" s="342"/>
      <c r="F70" s="342"/>
      <c r="G70" s="342"/>
      <c r="H70" s="342"/>
      <c r="I70" s="342"/>
      <c r="J70" s="149">
        <f>SUM(J69)</f>
        <v>50</v>
      </c>
      <c r="K70" s="10"/>
      <c r="L70" s="10"/>
      <c r="M70" s="10"/>
      <c r="N70" s="10"/>
      <c r="O70" s="10"/>
      <c r="P70" s="10"/>
      <c r="Q70" s="10"/>
      <c r="R70" s="10"/>
      <c r="S70" s="10"/>
      <c r="T70" s="10"/>
      <c r="U70" s="10"/>
      <c r="V70" s="10"/>
      <c r="W70" s="10"/>
      <c r="X70" s="10"/>
      <c r="Y70" s="10"/>
    </row>
    <row r="71" spans="1:25" ht="16.5" customHeight="1" x14ac:dyDescent="0.2">
      <c r="A71" s="184" t="str">
        <f>'Planilha orçamentária'!A32</f>
        <v>6.2</v>
      </c>
      <c r="B71" s="343" t="str">
        <f>'Planilha orçamentária'!D32</f>
        <v>Perfuração mecânica de estaca tipo trado rotativo, inclusive afastamento lateral, exclusive armação e concreto estrutural</v>
      </c>
      <c r="C71" s="344"/>
      <c r="D71" s="344"/>
      <c r="E71" s="344"/>
      <c r="F71" s="344"/>
      <c r="G71" s="344"/>
      <c r="H71" s="344"/>
      <c r="I71" s="344"/>
      <c r="J71" s="344"/>
      <c r="K71" s="10"/>
      <c r="L71" s="10"/>
      <c r="M71" s="10"/>
      <c r="N71" s="10"/>
      <c r="O71" s="10"/>
      <c r="P71" s="10"/>
      <c r="Q71" s="10"/>
      <c r="R71" s="10"/>
      <c r="S71" s="10"/>
      <c r="T71" s="10"/>
      <c r="U71" s="10"/>
      <c r="V71" s="10"/>
      <c r="W71" s="10"/>
      <c r="X71" s="10"/>
      <c r="Y71" s="10"/>
    </row>
    <row r="72" spans="1:25" ht="16.5" customHeight="1" x14ac:dyDescent="0.2">
      <c r="A72" s="327" t="s">
        <v>120</v>
      </c>
      <c r="B72" s="328"/>
      <c r="C72" s="328"/>
      <c r="D72" s="182" t="s">
        <v>121</v>
      </c>
      <c r="E72" s="182" t="s">
        <v>122</v>
      </c>
      <c r="F72" s="182" t="s">
        <v>123</v>
      </c>
      <c r="G72" s="182" t="s">
        <v>124</v>
      </c>
      <c r="H72" s="182" t="s">
        <v>125</v>
      </c>
      <c r="I72" s="182" t="s">
        <v>126</v>
      </c>
      <c r="J72" s="182" t="s">
        <v>113</v>
      </c>
      <c r="K72" s="10"/>
      <c r="L72" s="10"/>
      <c r="M72" s="10"/>
      <c r="N72" s="10"/>
      <c r="O72" s="10"/>
      <c r="P72" s="10"/>
      <c r="Q72" s="10"/>
      <c r="R72" s="10"/>
      <c r="S72" s="10"/>
      <c r="T72" s="10"/>
      <c r="U72" s="10"/>
      <c r="V72" s="10"/>
      <c r="W72" s="10"/>
      <c r="X72" s="10"/>
      <c r="Y72" s="10"/>
    </row>
    <row r="73" spans="1:25" ht="16.5" customHeight="1" x14ac:dyDescent="0.2">
      <c r="A73" s="316" t="s">
        <v>652</v>
      </c>
      <c r="B73" s="317"/>
      <c r="C73" s="317"/>
      <c r="D73" s="148"/>
      <c r="E73" s="148"/>
      <c r="F73" s="148">
        <v>4</v>
      </c>
      <c r="G73" s="148">
        <v>70</v>
      </c>
      <c r="H73" s="148">
        <f>(3.14*(0.2*0.2))</f>
        <v>0.12560000000000002</v>
      </c>
      <c r="I73" s="148"/>
      <c r="J73" s="170">
        <f>PRODUCT(D73:H73)-I73</f>
        <v>35.168000000000006</v>
      </c>
      <c r="K73" s="10"/>
      <c r="L73" s="10"/>
      <c r="M73" s="10"/>
      <c r="N73" s="10"/>
      <c r="O73" s="10"/>
      <c r="P73" s="10"/>
      <c r="Q73" s="10"/>
      <c r="R73" s="10"/>
      <c r="S73" s="10"/>
      <c r="T73" s="10"/>
      <c r="U73" s="10"/>
      <c r="V73" s="10"/>
      <c r="W73" s="10"/>
      <c r="X73" s="10"/>
      <c r="Y73" s="10"/>
    </row>
    <row r="74" spans="1:25" ht="16.5" customHeight="1" x14ac:dyDescent="0.2">
      <c r="A74" s="316" t="s">
        <v>652</v>
      </c>
      <c r="B74" s="317"/>
      <c r="C74" s="317"/>
      <c r="D74" s="148"/>
      <c r="E74" s="148"/>
      <c r="F74" s="148">
        <v>5</v>
      </c>
      <c r="G74" s="148">
        <v>42</v>
      </c>
      <c r="H74" s="148">
        <f>(3.14*(0.2*0.2))</f>
        <v>0.12560000000000002</v>
      </c>
      <c r="I74" s="148"/>
      <c r="J74" s="170">
        <f>PRODUCT(D74:H74)-I74</f>
        <v>26.376000000000005</v>
      </c>
      <c r="K74" s="10"/>
      <c r="L74" s="10"/>
      <c r="M74" s="10"/>
      <c r="N74" s="10"/>
      <c r="O74" s="10"/>
      <c r="P74" s="10"/>
      <c r="Q74" s="10"/>
      <c r="R74" s="10"/>
      <c r="S74" s="10"/>
      <c r="T74" s="10"/>
      <c r="U74" s="10"/>
      <c r="V74" s="10"/>
      <c r="W74" s="10"/>
      <c r="X74" s="10"/>
      <c r="Y74" s="10"/>
    </row>
    <row r="75" spans="1:25" s="166" customFormat="1" ht="16.5" customHeight="1" x14ac:dyDescent="0.2">
      <c r="A75" s="316" t="s">
        <v>652</v>
      </c>
      <c r="B75" s="317"/>
      <c r="C75" s="317"/>
      <c r="D75" s="148"/>
      <c r="E75" s="148"/>
      <c r="F75" s="148">
        <v>5</v>
      </c>
      <c r="G75" s="148">
        <v>42</v>
      </c>
      <c r="H75" s="148">
        <f>(3.14*(0.25*0.25))</f>
        <v>0.19625000000000001</v>
      </c>
      <c r="I75" s="148"/>
      <c r="J75" s="170">
        <f t="shared" ref="J75:J76" si="3">PRODUCT(D75:H75)-I75</f>
        <v>41.212499999999999</v>
      </c>
      <c r="K75" s="10"/>
      <c r="L75" s="10"/>
      <c r="M75" s="10"/>
      <c r="N75" s="10"/>
      <c r="O75" s="10"/>
      <c r="P75" s="10"/>
      <c r="Q75" s="10"/>
      <c r="R75" s="10"/>
      <c r="S75" s="10"/>
      <c r="T75" s="10"/>
      <c r="U75" s="10"/>
      <c r="V75" s="10"/>
      <c r="W75" s="10"/>
      <c r="X75" s="10"/>
      <c r="Y75" s="10"/>
    </row>
    <row r="76" spans="1:25" s="166" customFormat="1" ht="16.5" customHeight="1" x14ac:dyDescent="0.2">
      <c r="A76" s="316" t="s">
        <v>652</v>
      </c>
      <c r="B76" s="317"/>
      <c r="C76" s="317"/>
      <c r="D76" s="148"/>
      <c r="E76" s="148"/>
      <c r="F76" s="148">
        <v>6</v>
      </c>
      <c r="G76" s="148">
        <v>42</v>
      </c>
      <c r="H76" s="148">
        <f>(3.14*(0.25*0.25))</f>
        <v>0.19625000000000001</v>
      </c>
      <c r="I76" s="148"/>
      <c r="J76" s="170">
        <f t="shared" si="3"/>
        <v>49.455000000000005</v>
      </c>
      <c r="K76" s="10"/>
      <c r="L76" s="10"/>
      <c r="M76" s="10"/>
      <c r="N76" s="10"/>
      <c r="O76" s="10"/>
      <c r="P76" s="10"/>
      <c r="Q76" s="10"/>
      <c r="R76" s="10"/>
      <c r="S76" s="10"/>
      <c r="T76" s="10"/>
      <c r="U76" s="10"/>
      <c r="V76" s="10"/>
      <c r="W76" s="10"/>
      <c r="X76" s="10"/>
      <c r="Y76" s="10"/>
    </row>
    <row r="77" spans="1:25" ht="16.5" customHeight="1" x14ac:dyDescent="0.2">
      <c r="A77" s="342" t="str">
        <f>"TOTAL - "&amp;'Planilha orçamentária'!F32</f>
        <v>TOTAL - M3</v>
      </c>
      <c r="B77" s="342"/>
      <c r="C77" s="342"/>
      <c r="D77" s="342"/>
      <c r="E77" s="342"/>
      <c r="F77" s="342"/>
      <c r="G77" s="342"/>
      <c r="H77" s="342"/>
      <c r="I77" s="342"/>
      <c r="J77" s="149">
        <f>SUM(J73:J76)</f>
        <v>152.21150000000003</v>
      </c>
      <c r="K77" s="10"/>
      <c r="L77" s="10"/>
      <c r="M77" s="10"/>
      <c r="N77" s="10"/>
      <c r="O77" s="10"/>
      <c r="P77" s="10"/>
      <c r="Q77" s="10"/>
      <c r="R77" s="10"/>
      <c r="S77" s="10"/>
      <c r="T77" s="10"/>
      <c r="U77" s="10"/>
      <c r="V77" s="10"/>
      <c r="W77" s="10"/>
      <c r="X77" s="10"/>
      <c r="Y77" s="10"/>
    </row>
    <row r="78" spans="1:25" ht="16.5" customHeight="1" x14ac:dyDescent="0.2">
      <c r="A78" s="184" t="str">
        <f>'Planilha orçamentária'!A33</f>
        <v>6.3</v>
      </c>
      <c r="B78" s="343" t="str">
        <f>'Planilha orçamentária'!D33</f>
        <v>Forma e desforma de tábua e sarrafo, reaproveitamento (5x), exclusive escoramento</v>
      </c>
      <c r="C78" s="344"/>
      <c r="D78" s="344"/>
      <c r="E78" s="344"/>
      <c r="F78" s="344"/>
      <c r="G78" s="344"/>
      <c r="H78" s="344"/>
      <c r="I78" s="344"/>
      <c r="J78" s="344"/>
      <c r="K78" s="10"/>
      <c r="L78" s="10"/>
      <c r="M78" s="10"/>
      <c r="N78" s="10"/>
      <c r="O78" s="10"/>
      <c r="P78" s="10"/>
      <c r="Q78" s="10"/>
      <c r="R78" s="10"/>
      <c r="S78" s="10"/>
      <c r="T78" s="10"/>
      <c r="U78" s="10"/>
      <c r="V78" s="10"/>
      <c r="W78" s="10"/>
      <c r="X78" s="10"/>
      <c r="Y78" s="10"/>
    </row>
    <row r="79" spans="1:25" ht="25.5" customHeight="1" x14ac:dyDescent="0.2">
      <c r="A79" s="327" t="s">
        <v>120</v>
      </c>
      <c r="B79" s="328"/>
      <c r="C79" s="328"/>
      <c r="D79" s="182" t="s">
        <v>121</v>
      </c>
      <c r="E79" s="182" t="s">
        <v>122</v>
      </c>
      <c r="F79" s="182" t="s">
        <v>123</v>
      </c>
      <c r="G79" s="181" t="s">
        <v>489</v>
      </c>
      <c r="H79" s="182" t="s">
        <v>125</v>
      </c>
      <c r="I79" s="182" t="s">
        <v>126</v>
      </c>
      <c r="J79" s="182" t="s">
        <v>113</v>
      </c>
      <c r="K79" s="10"/>
      <c r="L79" s="10"/>
      <c r="M79" s="10"/>
      <c r="N79" s="10"/>
      <c r="O79" s="10"/>
      <c r="P79" s="10"/>
      <c r="Q79" s="10"/>
      <c r="R79" s="10"/>
      <c r="S79" s="10"/>
      <c r="T79" s="10"/>
      <c r="U79" s="10"/>
      <c r="V79" s="10"/>
      <c r="W79" s="10"/>
      <c r="X79" s="10"/>
      <c r="Y79" s="10"/>
    </row>
    <row r="80" spans="1:25" s="162" customFormat="1" ht="25.5" customHeight="1" x14ac:dyDescent="0.2">
      <c r="A80" s="316" t="s">
        <v>841</v>
      </c>
      <c r="B80" s="317"/>
      <c r="C80" s="317"/>
      <c r="D80" s="148"/>
      <c r="E80" s="148"/>
      <c r="F80" s="148"/>
      <c r="G80" s="148">
        <v>7</v>
      </c>
      <c r="H80" s="148">
        <f>115.17+86.89+19.66</f>
        <v>221.72</v>
      </c>
      <c r="I80" s="148"/>
      <c r="J80" s="170">
        <f t="shared" ref="J80:J92" si="4">PRODUCT(D80:H80)-I80</f>
        <v>1552.04</v>
      </c>
      <c r="K80" s="10"/>
      <c r="L80" s="10"/>
      <c r="M80" s="10"/>
      <c r="N80" s="10"/>
      <c r="O80" s="10"/>
      <c r="P80" s="10"/>
      <c r="Q80" s="10"/>
      <c r="R80" s="10"/>
      <c r="S80" s="10"/>
      <c r="T80" s="10"/>
      <c r="U80" s="10"/>
      <c r="V80" s="10"/>
      <c r="W80" s="10"/>
      <c r="X80" s="10"/>
      <c r="Y80" s="10"/>
    </row>
    <row r="81" spans="1:25" s="162" customFormat="1" ht="25.5" customHeight="1" x14ac:dyDescent="0.2">
      <c r="A81" s="316" t="s">
        <v>838</v>
      </c>
      <c r="B81" s="317"/>
      <c r="C81" s="317"/>
      <c r="D81" s="148"/>
      <c r="E81" s="148"/>
      <c r="F81" s="148"/>
      <c r="G81" s="148">
        <v>7</v>
      </c>
      <c r="H81" s="148">
        <f>115.17+106.55</f>
        <v>221.72</v>
      </c>
      <c r="I81" s="148"/>
      <c r="J81" s="170">
        <f t="shared" si="4"/>
        <v>1552.04</v>
      </c>
      <c r="K81" s="10"/>
      <c r="L81" s="10"/>
      <c r="M81" s="10"/>
      <c r="N81" s="10"/>
      <c r="O81" s="10"/>
      <c r="P81" s="10"/>
      <c r="Q81" s="10"/>
      <c r="R81" s="10"/>
      <c r="S81" s="10"/>
      <c r="T81" s="10"/>
      <c r="U81" s="10"/>
      <c r="V81" s="10"/>
      <c r="W81" s="10"/>
      <c r="X81" s="10"/>
      <c r="Y81" s="10"/>
    </row>
    <row r="82" spans="1:25" s="162" customFormat="1" ht="25.5" customHeight="1" x14ac:dyDescent="0.2">
      <c r="A82" s="316" t="s">
        <v>839</v>
      </c>
      <c r="B82" s="317"/>
      <c r="C82" s="317"/>
      <c r="D82" s="148"/>
      <c r="E82" s="148"/>
      <c r="F82" s="148"/>
      <c r="G82" s="148">
        <v>7</v>
      </c>
      <c r="H82" s="148">
        <f>115.17+106.55</f>
        <v>221.72</v>
      </c>
      <c r="I82" s="148"/>
      <c r="J82" s="170">
        <f t="shared" si="4"/>
        <v>1552.04</v>
      </c>
      <c r="K82" s="10"/>
      <c r="L82" s="10"/>
      <c r="M82" s="10"/>
      <c r="N82" s="10"/>
      <c r="O82" s="10"/>
      <c r="P82" s="10"/>
      <c r="Q82" s="10"/>
      <c r="R82" s="10"/>
      <c r="S82" s="10"/>
      <c r="T82" s="10"/>
      <c r="U82" s="10"/>
      <c r="V82" s="10"/>
      <c r="W82" s="10"/>
      <c r="X82" s="10"/>
      <c r="Y82" s="10"/>
    </row>
    <row r="83" spans="1:25" s="162" customFormat="1" ht="25.5" customHeight="1" x14ac:dyDescent="0.2">
      <c r="A83" s="316" t="s">
        <v>840</v>
      </c>
      <c r="B83" s="317"/>
      <c r="C83" s="317"/>
      <c r="D83" s="148"/>
      <c r="E83" s="148"/>
      <c r="F83" s="148"/>
      <c r="G83" s="148">
        <v>7</v>
      </c>
      <c r="H83" s="148">
        <f>115.92+78.65</f>
        <v>194.57</v>
      </c>
      <c r="I83" s="148"/>
      <c r="J83" s="170">
        <f t="shared" si="4"/>
        <v>1361.99</v>
      </c>
      <c r="K83" s="10"/>
      <c r="L83" s="10"/>
      <c r="M83" s="10"/>
      <c r="N83" s="10"/>
      <c r="O83" s="10"/>
      <c r="P83" s="10"/>
      <c r="Q83" s="10"/>
      <c r="R83" s="10"/>
      <c r="S83" s="10"/>
      <c r="T83" s="10"/>
      <c r="U83" s="10"/>
      <c r="V83" s="10"/>
      <c r="W83" s="10"/>
      <c r="X83" s="10"/>
      <c r="Y83" s="10"/>
    </row>
    <row r="84" spans="1:25" s="162" customFormat="1" ht="25.5" customHeight="1" x14ac:dyDescent="0.2">
      <c r="A84" s="316" t="s">
        <v>842</v>
      </c>
      <c r="B84" s="317"/>
      <c r="C84" s="317"/>
      <c r="D84" s="148"/>
      <c r="E84" s="148"/>
      <c r="F84" s="148"/>
      <c r="G84" s="148">
        <v>7</v>
      </c>
      <c r="H84" s="148">
        <v>32.78</v>
      </c>
      <c r="I84" s="148"/>
      <c r="J84" s="170">
        <f t="shared" si="4"/>
        <v>229.46</v>
      </c>
      <c r="K84" s="10"/>
      <c r="L84" s="10"/>
      <c r="M84" s="10"/>
      <c r="N84" s="10"/>
      <c r="O84" s="10"/>
      <c r="P84" s="10"/>
      <c r="Q84" s="10"/>
      <c r="R84" s="10"/>
      <c r="S84" s="10"/>
      <c r="T84" s="10"/>
      <c r="U84" s="10"/>
      <c r="V84" s="10"/>
      <c r="W84" s="10"/>
      <c r="X84" s="10"/>
      <c r="Y84" s="10"/>
    </row>
    <row r="85" spans="1:25" s="162" customFormat="1" ht="25.5" customHeight="1" x14ac:dyDescent="0.2">
      <c r="A85" s="316" t="s">
        <v>843</v>
      </c>
      <c r="B85" s="317"/>
      <c r="C85" s="317"/>
      <c r="D85" s="148"/>
      <c r="E85" s="148"/>
      <c r="F85" s="148"/>
      <c r="G85" s="148">
        <v>7</v>
      </c>
      <c r="H85" s="148">
        <v>14.48</v>
      </c>
      <c r="I85" s="148"/>
      <c r="J85" s="170">
        <f t="shared" si="4"/>
        <v>101.36</v>
      </c>
      <c r="K85" s="10"/>
      <c r="L85" s="10"/>
      <c r="M85" s="10"/>
      <c r="N85" s="10"/>
      <c r="O85" s="10"/>
      <c r="P85" s="10"/>
      <c r="Q85" s="10"/>
      <c r="R85" s="10"/>
      <c r="S85" s="10"/>
      <c r="T85" s="10"/>
      <c r="U85" s="10"/>
      <c r="V85" s="10"/>
      <c r="W85" s="10"/>
      <c r="X85" s="10"/>
      <c r="Y85" s="10"/>
    </row>
    <row r="86" spans="1:25" s="162" customFormat="1" ht="16.5" customHeight="1" x14ac:dyDescent="0.2">
      <c r="A86" s="316" t="s">
        <v>653</v>
      </c>
      <c r="B86" s="317"/>
      <c r="C86" s="317"/>
      <c r="D86" s="148"/>
      <c r="E86" s="148"/>
      <c r="F86" s="148"/>
      <c r="G86" s="148">
        <v>7</v>
      </c>
      <c r="H86" s="148">
        <v>172.29</v>
      </c>
      <c r="I86" s="148"/>
      <c r="J86" s="170">
        <f t="shared" si="4"/>
        <v>1206.03</v>
      </c>
      <c r="K86" s="10"/>
      <c r="L86" s="10"/>
      <c r="M86" s="10"/>
      <c r="N86" s="10"/>
      <c r="O86" s="10"/>
      <c r="P86" s="10"/>
      <c r="Q86" s="10"/>
      <c r="R86" s="10"/>
      <c r="S86" s="10"/>
      <c r="T86" s="10"/>
      <c r="U86" s="10"/>
      <c r="V86" s="10"/>
      <c r="W86" s="10"/>
      <c r="X86" s="10"/>
      <c r="Y86" s="10"/>
    </row>
    <row r="87" spans="1:25" s="162" customFormat="1" ht="16.5" customHeight="1" x14ac:dyDescent="0.2">
      <c r="A87" s="316" t="s">
        <v>654</v>
      </c>
      <c r="B87" s="317"/>
      <c r="C87" s="317"/>
      <c r="D87" s="148"/>
      <c r="E87" s="148"/>
      <c r="F87" s="148"/>
      <c r="G87" s="148">
        <v>7</v>
      </c>
      <c r="H87" s="148">
        <v>172.29</v>
      </c>
      <c r="I87" s="148"/>
      <c r="J87" s="170">
        <f t="shared" si="4"/>
        <v>1206.03</v>
      </c>
      <c r="K87" s="10"/>
      <c r="L87" s="10"/>
      <c r="M87" s="10"/>
      <c r="N87" s="10"/>
      <c r="O87" s="10"/>
      <c r="P87" s="10"/>
      <c r="Q87" s="10"/>
      <c r="R87" s="10"/>
      <c r="S87" s="10"/>
      <c r="T87" s="10"/>
      <c r="U87" s="10"/>
      <c r="V87" s="10"/>
      <c r="W87" s="10"/>
      <c r="X87" s="10"/>
      <c r="Y87" s="10"/>
    </row>
    <row r="88" spans="1:25" s="162" customFormat="1" ht="16.5" customHeight="1" x14ac:dyDescent="0.2">
      <c r="A88" s="316" t="s">
        <v>655</v>
      </c>
      <c r="B88" s="317"/>
      <c r="C88" s="317"/>
      <c r="D88" s="148"/>
      <c r="E88" s="148"/>
      <c r="F88" s="148"/>
      <c r="G88" s="148">
        <v>7</v>
      </c>
      <c r="H88" s="148">
        <v>172.29</v>
      </c>
      <c r="I88" s="148"/>
      <c r="J88" s="170">
        <f t="shared" si="4"/>
        <v>1206.03</v>
      </c>
      <c r="K88" s="10"/>
      <c r="L88" s="10"/>
      <c r="M88" s="10"/>
      <c r="N88" s="10"/>
      <c r="O88" s="10"/>
      <c r="P88" s="10"/>
      <c r="Q88" s="10"/>
      <c r="R88" s="10"/>
      <c r="S88" s="10"/>
      <c r="T88" s="10"/>
      <c r="U88" s="10"/>
      <c r="V88" s="10"/>
      <c r="W88" s="10"/>
      <c r="X88" s="10"/>
      <c r="Y88" s="10"/>
    </row>
    <row r="89" spans="1:25" s="162" customFormat="1" ht="16.5" customHeight="1" x14ac:dyDescent="0.2">
      <c r="A89" s="316" t="s">
        <v>656</v>
      </c>
      <c r="B89" s="317"/>
      <c r="C89" s="317"/>
      <c r="D89" s="148"/>
      <c r="E89" s="148"/>
      <c r="F89" s="148"/>
      <c r="G89" s="148">
        <v>7</v>
      </c>
      <c r="H89" s="148">
        <v>163.76</v>
      </c>
      <c r="I89" s="148"/>
      <c r="J89" s="170">
        <f t="shared" si="4"/>
        <v>1146.32</v>
      </c>
      <c r="K89" s="10"/>
      <c r="L89" s="10"/>
      <c r="M89" s="10"/>
      <c r="N89" s="10"/>
      <c r="O89" s="10"/>
      <c r="P89" s="10"/>
      <c r="Q89" s="10"/>
      <c r="R89" s="10"/>
      <c r="S89" s="10"/>
      <c r="T89" s="10"/>
      <c r="U89" s="10"/>
      <c r="V89" s="10"/>
      <c r="W89" s="10"/>
      <c r="X89" s="10"/>
      <c r="Y89" s="10"/>
    </row>
    <row r="90" spans="1:25" s="162" customFormat="1" ht="16.5" customHeight="1" x14ac:dyDescent="0.2">
      <c r="A90" s="316" t="s">
        <v>657</v>
      </c>
      <c r="B90" s="317"/>
      <c r="C90" s="317"/>
      <c r="D90" s="148"/>
      <c r="E90" s="148"/>
      <c r="F90" s="148"/>
      <c r="G90" s="148">
        <v>7</v>
      </c>
      <c r="H90" s="148">
        <v>19.309999999999999</v>
      </c>
      <c r="I90" s="148"/>
      <c r="J90" s="170">
        <f t="shared" si="4"/>
        <v>135.16999999999999</v>
      </c>
      <c r="K90" s="10"/>
      <c r="L90" s="10"/>
      <c r="M90" s="10"/>
      <c r="N90" s="10"/>
      <c r="O90" s="10"/>
      <c r="P90" s="10"/>
      <c r="Q90" s="10"/>
      <c r="R90" s="10"/>
      <c r="S90" s="10"/>
      <c r="T90" s="10"/>
      <c r="U90" s="10"/>
      <c r="V90" s="10"/>
      <c r="W90" s="10"/>
      <c r="X90" s="10"/>
      <c r="Y90" s="10"/>
    </row>
    <row r="91" spans="1:25" s="166" customFormat="1" ht="16.5" customHeight="1" x14ac:dyDescent="0.2">
      <c r="A91" s="427" t="s">
        <v>668</v>
      </c>
      <c r="B91" s="428"/>
      <c r="C91" s="428"/>
      <c r="D91" s="185"/>
      <c r="E91" s="185"/>
      <c r="F91" s="185"/>
      <c r="G91" s="185">
        <v>7</v>
      </c>
      <c r="H91" s="185">
        <f>259.84+121.4</f>
        <v>381.24</v>
      </c>
      <c r="I91" s="185"/>
      <c r="J91" s="170">
        <f t="shared" si="4"/>
        <v>2668.6800000000003</v>
      </c>
      <c r="K91" s="10"/>
      <c r="L91" s="10"/>
      <c r="M91" s="10"/>
      <c r="N91" s="10"/>
      <c r="O91" s="10"/>
      <c r="P91" s="10"/>
      <c r="Q91" s="10"/>
      <c r="R91" s="10"/>
      <c r="S91" s="10"/>
      <c r="T91" s="10"/>
      <c r="U91" s="10"/>
      <c r="V91" s="10"/>
      <c r="W91" s="10"/>
      <c r="X91" s="10"/>
      <c r="Y91" s="10"/>
    </row>
    <row r="92" spans="1:25" s="162" customFormat="1" ht="16.5" customHeight="1" x14ac:dyDescent="0.2">
      <c r="A92" s="316" t="s">
        <v>658</v>
      </c>
      <c r="B92" s="317"/>
      <c r="C92" s="317"/>
      <c r="D92" s="148"/>
      <c r="E92" s="148"/>
      <c r="F92" s="148"/>
      <c r="G92" s="148">
        <v>7</v>
      </c>
      <c r="H92" s="148">
        <v>24.47</v>
      </c>
      <c r="I92" s="148"/>
      <c r="J92" s="170">
        <f t="shared" si="4"/>
        <v>171.29</v>
      </c>
      <c r="K92" s="10"/>
      <c r="L92" s="10"/>
      <c r="M92" s="10"/>
      <c r="N92" s="10"/>
      <c r="O92" s="10"/>
      <c r="P92" s="10"/>
      <c r="Q92" s="10"/>
      <c r="R92" s="10"/>
      <c r="S92" s="10"/>
      <c r="T92" s="10"/>
      <c r="U92" s="10"/>
      <c r="V92" s="10"/>
      <c r="W92" s="10"/>
      <c r="X92" s="10"/>
      <c r="Y92" s="10"/>
    </row>
    <row r="93" spans="1:25" ht="16.5" customHeight="1" x14ac:dyDescent="0.2">
      <c r="A93" s="342" t="str">
        <f>"TOTAL - "&amp;'Planilha orçamentária'!F33</f>
        <v>TOTAL - M2</v>
      </c>
      <c r="B93" s="342"/>
      <c r="C93" s="342"/>
      <c r="D93" s="342"/>
      <c r="E93" s="342"/>
      <c r="F93" s="342"/>
      <c r="G93" s="342"/>
      <c r="H93" s="342"/>
      <c r="I93" s="342"/>
      <c r="J93" s="149">
        <f>SUM(J80:J92)</f>
        <v>14088.480000000001</v>
      </c>
      <c r="K93" s="10"/>
      <c r="L93" s="10"/>
      <c r="M93" s="10"/>
      <c r="N93" s="10"/>
      <c r="O93" s="10"/>
      <c r="P93" s="10"/>
      <c r="Q93" s="10"/>
      <c r="R93" s="10"/>
      <c r="S93" s="10"/>
      <c r="T93" s="10"/>
      <c r="U93" s="10"/>
      <c r="V93" s="10"/>
      <c r="W93" s="10"/>
      <c r="X93" s="10"/>
      <c r="Y93" s="10"/>
    </row>
    <row r="94" spans="1:25" ht="16.5" customHeight="1" x14ac:dyDescent="0.2">
      <c r="A94" s="184" t="str">
        <f>'Planilha orçamentária'!A34</f>
        <v>6.4</v>
      </c>
      <c r="B94" s="343" t="str">
        <f>'Planilha orçamentária'!D34</f>
        <v>Corte, dobra e montagem de aço ca-50/60</v>
      </c>
      <c r="C94" s="344"/>
      <c r="D94" s="344"/>
      <c r="E94" s="344"/>
      <c r="F94" s="344"/>
      <c r="G94" s="344"/>
      <c r="H94" s="344"/>
      <c r="I94" s="344"/>
      <c r="J94" s="344"/>
      <c r="K94" s="10"/>
      <c r="L94" s="10"/>
      <c r="M94" s="10"/>
      <c r="N94" s="10"/>
      <c r="O94" s="10"/>
      <c r="P94" s="10"/>
      <c r="Q94" s="10"/>
      <c r="R94" s="10"/>
      <c r="S94" s="10"/>
      <c r="T94" s="10"/>
      <c r="U94" s="10"/>
      <c r="V94" s="10"/>
      <c r="W94" s="10"/>
      <c r="X94" s="10"/>
      <c r="Y94" s="10"/>
    </row>
    <row r="95" spans="1:25" ht="25.5" customHeight="1" x14ac:dyDescent="0.2">
      <c r="A95" s="327" t="s">
        <v>120</v>
      </c>
      <c r="B95" s="328"/>
      <c r="C95" s="328"/>
      <c r="D95" s="182" t="s">
        <v>121</v>
      </c>
      <c r="E95" s="182" t="s">
        <v>122</v>
      </c>
      <c r="F95" s="182" t="s">
        <v>123</v>
      </c>
      <c r="G95" s="181" t="s">
        <v>124</v>
      </c>
      <c r="H95" s="181" t="s">
        <v>489</v>
      </c>
      <c r="I95" s="182" t="s">
        <v>133</v>
      </c>
      <c r="J95" s="182" t="s">
        <v>113</v>
      </c>
      <c r="K95" s="10"/>
      <c r="L95" s="10"/>
      <c r="M95" s="10"/>
      <c r="N95" s="10"/>
      <c r="O95" s="10"/>
      <c r="P95" s="10"/>
      <c r="Q95" s="10"/>
      <c r="R95" s="10"/>
      <c r="S95" s="10"/>
      <c r="T95" s="10"/>
      <c r="U95" s="10"/>
      <c r="V95" s="10"/>
      <c r="W95" s="10"/>
      <c r="X95" s="10"/>
      <c r="Y95" s="10"/>
    </row>
    <row r="96" spans="1:25" s="163" customFormat="1" ht="16.5" customHeight="1" x14ac:dyDescent="0.2">
      <c r="A96" s="316" t="s">
        <v>659</v>
      </c>
      <c r="B96" s="317"/>
      <c r="C96" s="317"/>
      <c r="D96" s="148"/>
      <c r="E96" s="148"/>
      <c r="F96" s="148"/>
      <c r="G96" s="148">
        <v>737.89</v>
      </c>
      <c r="H96" s="148">
        <v>7</v>
      </c>
      <c r="I96" s="148"/>
      <c r="J96" s="170">
        <f t="shared" ref="J96:J111" si="5">PRODUCT(D96:H96)-I96</f>
        <v>5165.2299999999996</v>
      </c>
      <c r="K96" s="10"/>
      <c r="L96" s="10"/>
      <c r="M96" s="10"/>
      <c r="N96" s="10"/>
      <c r="O96" s="10"/>
      <c r="P96" s="10"/>
      <c r="Q96" s="10"/>
      <c r="R96" s="10"/>
      <c r="S96" s="10"/>
      <c r="T96" s="10"/>
      <c r="U96" s="10"/>
      <c r="V96" s="10"/>
      <c r="W96" s="10"/>
      <c r="X96" s="10"/>
      <c r="Y96" s="10"/>
    </row>
    <row r="97" spans="1:25" s="163" customFormat="1" ht="16.5" customHeight="1" x14ac:dyDescent="0.2">
      <c r="A97" s="316" t="s">
        <v>660</v>
      </c>
      <c r="B97" s="317"/>
      <c r="C97" s="317"/>
      <c r="D97" s="148"/>
      <c r="E97" s="148"/>
      <c r="F97" s="148"/>
      <c r="G97" s="148">
        <v>394.18</v>
      </c>
      <c r="H97" s="148">
        <v>7</v>
      </c>
      <c r="I97" s="148"/>
      <c r="J97" s="170">
        <f t="shared" si="5"/>
        <v>2759.26</v>
      </c>
      <c r="K97" s="10"/>
      <c r="L97" s="10"/>
      <c r="M97" s="10"/>
      <c r="N97" s="10"/>
      <c r="O97" s="10"/>
      <c r="P97" s="10"/>
      <c r="Q97" s="10"/>
      <c r="R97" s="10"/>
      <c r="S97" s="10"/>
      <c r="T97" s="10"/>
      <c r="U97" s="10"/>
      <c r="V97" s="10"/>
      <c r="W97" s="10"/>
      <c r="X97" s="10"/>
      <c r="Y97" s="10"/>
    </row>
    <row r="98" spans="1:25" s="163" customFormat="1" ht="25.5" customHeight="1" x14ac:dyDescent="0.2">
      <c r="A98" s="316" t="s">
        <v>661</v>
      </c>
      <c r="B98" s="317"/>
      <c r="C98" s="317"/>
      <c r="D98" s="148"/>
      <c r="E98" s="148"/>
      <c r="F98" s="148"/>
      <c r="G98" s="148">
        <f>323.8+79.3+214.3+64.2+48+13.5</f>
        <v>743.10000000000014</v>
      </c>
      <c r="H98" s="148">
        <v>7</v>
      </c>
      <c r="I98" s="148"/>
      <c r="J98" s="170">
        <f t="shared" si="5"/>
        <v>5201.7000000000007</v>
      </c>
      <c r="K98" s="10"/>
      <c r="L98" s="10"/>
      <c r="M98" s="10"/>
      <c r="N98" s="10"/>
      <c r="O98" s="10"/>
      <c r="P98" s="10"/>
      <c r="Q98" s="10"/>
      <c r="R98" s="10"/>
      <c r="S98" s="10"/>
      <c r="T98" s="10"/>
      <c r="U98" s="10"/>
      <c r="V98" s="10"/>
      <c r="W98" s="10"/>
      <c r="X98" s="10"/>
      <c r="Y98" s="10"/>
    </row>
    <row r="99" spans="1:25" s="163" customFormat="1" ht="25.5" customHeight="1" x14ac:dyDescent="0.2">
      <c r="A99" s="316" t="s">
        <v>844</v>
      </c>
      <c r="B99" s="317"/>
      <c r="C99" s="317"/>
      <c r="D99" s="148"/>
      <c r="E99" s="148"/>
      <c r="F99" s="148"/>
      <c r="G99" s="148">
        <f>424+74.1+308.5+56.6+53.4+13.5</f>
        <v>930.1</v>
      </c>
      <c r="H99" s="148">
        <v>7</v>
      </c>
      <c r="I99" s="148"/>
      <c r="J99" s="170">
        <f t="shared" si="5"/>
        <v>6510.7</v>
      </c>
      <c r="K99" s="10"/>
      <c r="L99" s="10"/>
      <c r="M99" s="10"/>
      <c r="N99" s="10"/>
      <c r="O99" s="10"/>
      <c r="P99" s="10"/>
      <c r="Q99" s="10"/>
      <c r="R99" s="10"/>
      <c r="S99" s="10"/>
      <c r="T99" s="10"/>
      <c r="U99" s="10"/>
      <c r="V99" s="10"/>
      <c r="W99" s="10"/>
      <c r="X99" s="10"/>
      <c r="Y99" s="10"/>
    </row>
    <row r="100" spans="1:25" s="163" customFormat="1" ht="25.5" customHeight="1" x14ac:dyDescent="0.2">
      <c r="A100" s="316" t="s">
        <v>838</v>
      </c>
      <c r="B100" s="317"/>
      <c r="C100" s="317"/>
      <c r="D100" s="148"/>
      <c r="E100" s="148"/>
      <c r="F100" s="148"/>
      <c r="G100" s="148">
        <f>416.4+74.1+332.4+69.8</f>
        <v>892.69999999999993</v>
      </c>
      <c r="H100" s="148">
        <v>7</v>
      </c>
      <c r="I100" s="148"/>
      <c r="J100" s="170">
        <f t="shared" si="5"/>
        <v>6248.9</v>
      </c>
      <c r="K100" s="10"/>
      <c r="L100" s="10"/>
      <c r="M100" s="10"/>
      <c r="N100" s="10"/>
      <c r="O100" s="10"/>
      <c r="P100" s="10"/>
      <c r="Q100" s="10"/>
      <c r="R100" s="10"/>
      <c r="S100" s="10"/>
      <c r="T100" s="10"/>
      <c r="U100" s="10"/>
      <c r="V100" s="10"/>
      <c r="W100" s="10"/>
      <c r="X100" s="10"/>
      <c r="Y100" s="10"/>
    </row>
    <row r="101" spans="1:25" s="163" customFormat="1" ht="25.5" customHeight="1" x14ac:dyDescent="0.2">
      <c r="A101" s="316" t="s">
        <v>845</v>
      </c>
      <c r="B101" s="317"/>
      <c r="C101" s="317"/>
      <c r="D101" s="148"/>
      <c r="E101" s="148"/>
      <c r="F101" s="148"/>
      <c r="G101" s="148">
        <f>416.4+74.1+332.4+69.8</f>
        <v>892.69999999999993</v>
      </c>
      <c r="H101" s="148">
        <v>7</v>
      </c>
      <c r="I101" s="148"/>
      <c r="J101" s="170">
        <f t="shared" si="5"/>
        <v>6248.9</v>
      </c>
      <c r="K101" s="10"/>
      <c r="L101" s="10"/>
      <c r="M101" s="10"/>
      <c r="N101" s="10"/>
      <c r="O101" s="10"/>
      <c r="P101" s="10"/>
      <c r="Q101" s="10"/>
      <c r="R101" s="10"/>
      <c r="S101" s="10"/>
      <c r="T101" s="10"/>
      <c r="U101" s="10"/>
      <c r="V101" s="10"/>
      <c r="W101" s="10"/>
      <c r="X101" s="10"/>
      <c r="Y101" s="10"/>
    </row>
    <row r="102" spans="1:25" s="163" customFormat="1" ht="25.5" customHeight="1" x14ac:dyDescent="0.2">
      <c r="A102" s="316" t="s">
        <v>840</v>
      </c>
      <c r="B102" s="317"/>
      <c r="C102" s="317"/>
      <c r="D102" s="148"/>
      <c r="E102" s="148"/>
      <c r="F102" s="148"/>
      <c r="G102" s="148">
        <f>380.3+78.2+221.9+54.4</f>
        <v>734.8</v>
      </c>
      <c r="H102" s="148">
        <v>7</v>
      </c>
      <c r="I102" s="148"/>
      <c r="J102" s="170">
        <f t="shared" si="5"/>
        <v>5143.5999999999995</v>
      </c>
      <c r="K102" s="10"/>
      <c r="L102" s="10"/>
      <c r="M102" s="10"/>
      <c r="N102" s="10"/>
      <c r="O102" s="10"/>
      <c r="P102" s="10"/>
      <c r="Q102" s="10"/>
      <c r="R102" s="10"/>
      <c r="S102" s="10"/>
      <c r="T102" s="10"/>
      <c r="U102" s="10"/>
      <c r="V102" s="10"/>
      <c r="W102" s="10"/>
      <c r="X102" s="10"/>
      <c r="Y102" s="10"/>
    </row>
    <row r="103" spans="1:25" s="163" customFormat="1" ht="25.5" customHeight="1" x14ac:dyDescent="0.2">
      <c r="A103" s="316" t="s">
        <v>842</v>
      </c>
      <c r="B103" s="317"/>
      <c r="C103" s="317"/>
      <c r="D103" s="148"/>
      <c r="E103" s="148"/>
      <c r="F103" s="148"/>
      <c r="G103" s="148">
        <f>88+20.1</f>
        <v>108.1</v>
      </c>
      <c r="H103" s="148">
        <v>7</v>
      </c>
      <c r="I103" s="148"/>
      <c r="J103" s="170">
        <f t="shared" si="5"/>
        <v>756.69999999999993</v>
      </c>
      <c r="K103" s="10"/>
      <c r="L103" s="10"/>
      <c r="M103" s="10"/>
      <c r="N103" s="10"/>
      <c r="O103" s="10"/>
      <c r="P103" s="10"/>
      <c r="Q103" s="10"/>
      <c r="R103" s="10"/>
      <c r="S103" s="10"/>
      <c r="T103" s="10"/>
      <c r="U103" s="10"/>
      <c r="V103" s="10"/>
      <c r="W103" s="10"/>
      <c r="X103" s="10"/>
      <c r="Y103" s="10"/>
    </row>
    <row r="104" spans="1:25" s="163" customFormat="1" ht="25.5" customHeight="1" x14ac:dyDescent="0.2">
      <c r="A104" s="316" t="s">
        <v>843</v>
      </c>
      <c r="B104" s="317"/>
      <c r="C104" s="317"/>
      <c r="D104" s="148"/>
      <c r="E104" s="148"/>
      <c r="F104" s="148"/>
      <c r="G104" s="148">
        <f>34.5+16.1</f>
        <v>50.6</v>
      </c>
      <c r="H104" s="148">
        <v>7</v>
      </c>
      <c r="I104" s="148"/>
      <c r="J104" s="170">
        <f t="shared" si="5"/>
        <v>354.2</v>
      </c>
      <c r="K104" s="10"/>
      <c r="L104" s="10"/>
      <c r="M104" s="10"/>
      <c r="N104" s="10"/>
      <c r="O104" s="10"/>
      <c r="P104" s="10"/>
      <c r="Q104" s="10"/>
      <c r="R104" s="10"/>
      <c r="S104" s="10"/>
      <c r="T104" s="10"/>
      <c r="U104" s="10"/>
      <c r="V104" s="10"/>
      <c r="W104" s="10"/>
      <c r="X104" s="10"/>
      <c r="Y104" s="10"/>
    </row>
    <row r="105" spans="1:25" s="163" customFormat="1" ht="16.5" customHeight="1" x14ac:dyDescent="0.2">
      <c r="A105" s="316" t="s">
        <v>653</v>
      </c>
      <c r="B105" s="317"/>
      <c r="C105" s="317"/>
      <c r="D105" s="148"/>
      <c r="E105" s="148"/>
      <c r="F105" s="148"/>
      <c r="G105" s="148">
        <f>167.98+48.24+138.51+68.68+426.2</f>
        <v>849.61</v>
      </c>
      <c r="H105" s="148">
        <v>7</v>
      </c>
      <c r="I105" s="148"/>
      <c r="J105" s="170">
        <f t="shared" si="5"/>
        <v>5947.27</v>
      </c>
      <c r="K105" s="10"/>
      <c r="L105" s="10"/>
      <c r="M105" s="10"/>
      <c r="N105" s="10"/>
      <c r="O105" s="10"/>
      <c r="P105" s="10"/>
      <c r="Q105" s="10"/>
      <c r="R105" s="10"/>
      <c r="S105" s="10"/>
      <c r="T105" s="10"/>
      <c r="U105" s="10"/>
      <c r="V105" s="10"/>
      <c r="W105" s="10"/>
      <c r="X105" s="10"/>
      <c r="Y105" s="10"/>
    </row>
    <row r="106" spans="1:25" s="163" customFormat="1" ht="16.5" customHeight="1" x14ac:dyDescent="0.2">
      <c r="A106" s="316" t="s">
        <v>654</v>
      </c>
      <c r="B106" s="317"/>
      <c r="C106" s="317"/>
      <c r="D106" s="148"/>
      <c r="E106" s="148"/>
      <c r="F106" s="148"/>
      <c r="G106" s="148">
        <f>138.51+68.68+167.98+48.24+426.2</f>
        <v>849.6099999999999</v>
      </c>
      <c r="H106" s="148">
        <v>7</v>
      </c>
      <c r="I106" s="148"/>
      <c r="J106" s="170">
        <f t="shared" si="5"/>
        <v>5947.2699999999995</v>
      </c>
      <c r="K106" s="10"/>
      <c r="L106" s="10"/>
      <c r="M106" s="10"/>
      <c r="N106" s="10"/>
      <c r="O106" s="10"/>
      <c r="P106" s="10"/>
      <c r="Q106" s="10"/>
      <c r="R106" s="10"/>
      <c r="S106" s="10"/>
      <c r="T106" s="10"/>
      <c r="U106" s="10"/>
      <c r="V106" s="10"/>
      <c r="W106" s="10"/>
      <c r="X106" s="10"/>
      <c r="Y106" s="10"/>
    </row>
    <row r="107" spans="1:25" s="163" customFormat="1" ht="16.5" customHeight="1" x14ac:dyDescent="0.2">
      <c r="A107" s="316" t="s">
        <v>655</v>
      </c>
      <c r="B107" s="317"/>
      <c r="C107" s="317"/>
      <c r="D107" s="148"/>
      <c r="E107" s="148"/>
      <c r="F107" s="148"/>
      <c r="G107" s="148">
        <f>138.51+68.68+167.98+48.24+426.2</f>
        <v>849.6099999999999</v>
      </c>
      <c r="H107" s="148">
        <v>7</v>
      </c>
      <c r="I107" s="148"/>
      <c r="J107" s="170">
        <f t="shared" si="5"/>
        <v>5947.2699999999995</v>
      </c>
      <c r="K107" s="10"/>
      <c r="L107" s="10"/>
      <c r="M107" s="10"/>
      <c r="N107" s="10"/>
      <c r="O107" s="10"/>
      <c r="P107" s="10"/>
      <c r="Q107" s="10"/>
      <c r="R107" s="10"/>
      <c r="S107" s="10"/>
      <c r="T107" s="10"/>
      <c r="U107" s="10"/>
      <c r="V107" s="10"/>
      <c r="W107" s="10"/>
      <c r="X107" s="10"/>
      <c r="Y107" s="10"/>
    </row>
    <row r="108" spans="1:25" s="163" customFormat="1" ht="16.5" customHeight="1" x14ac:dyDescent="0.2">
      <c r="A108" s="316" t="s">
        <v>662</v>
      </c>
      <c r="B108" s="317"/>
      <c r="C108" s="317"/>
      <c r="D108" s="148"/>
      <c r="E108" s="148"/>
      <c r="F108" s="148"/>
      <c r="G108" s="148">
        <f>138.51+68.68+135.56+40.17+153.8+308.6</f>
        <v>845.32</v>
      </c>
      <c r="H108" s="148">
        <v>7</v>
      </c>
      <c r="I108" s="148"/>
      <c r="J108" s="170">
        <f t="shared" si="5"/>
        <v>5917.2400000000007</v>
      </c>
      <c r="K108" s="10"/>
      <c r="L108" s="10"/>
      <c r="M108" s="10"/>
      <c r="N108" s="10"/>
      <c r="O108" s="10"/>
      <c r="P108" s="10"/>
      <c r="Q108" s="10"/>
      <c r="R108" s="10"/>
      <c r="S108" s="10"/>
      <c r="T108" s="10"/>
      <c r="U108" s="10"/>
      <c r="V108" s="10"/>
      <c r="W108" s="10"/>
      <c r="X108" s="10"/>
      <c r="Y108" s="10"/>
    </row>
    <row r="109" spans="1:25" s="163" customFormat="1" ht="16.5" customHeight="1" x14ac:dyDescent="0.2">
      <c r="A109" s="316" t="s">
        <v>657</v>
      </c>
      <c r="B109" s="317"/>
      <c r="C109" s="317"/>
      <c r="D109" s="148"/>
      <c r="E109" s="148"/>
      <c r="F109" s="148"/>
      <c r="G109" s="148">
        <f>18.2+57.1</f>
        <v>75.3</v>
      </c>
      <c r="H109" s="148">
        <v>7</v>
      </c>
      <c r="I109" s="148"/>
      <c r="J109" s="170">
        <f t="shared" si="5"/>
        <v>527.1</v>
      </c>
      <c r="K109" s="10"/>
      <c r="L109" s="10"/>
      <c r="M109" s="10"/>
      <c r="N109" s="10"/>
      <c r="O109" s="10"/>
      <c r="P109" s="10"/>
      <c r="Q109" s="10"/>
      <c r="R109" s="10"/>
      <c r="S109" s="10"/>
      <c r="T109" s="10"/>
      <c r="U109" s="10"/>
      <c r="V109" s="10"/>
      <c r="W109" s="10"/>
      <c r="X109" s="10"/>
      <c r="Y109" s="10"/>
    </row>
    <row r="110" spans="1:25" s="166" customFormat="1" ht="16.5" customHeight="1" x14ac:dyDescent="0.2">
      <c r="A110" s="427" t="s">
        <v>668</v>
      </c>
      <c r="B110" s="428"/>
      <c r="C110" s="428"/>
      <c r="D110" s="148"/>
      <c r="E110" s="148"/>
      <c r="F110" s="148"/>
      <c r="G110" s="148">
        <f>1406.69+369.22+674.14+170.21</f>
        <v>2620.2600000000002</v>
      </c>
      <c r="H110" s="148">
        <v>7</v>
      </c>
      <c r="I110" s="148"/>
      <c r="J110" s="170">
        <f t="shared" si="5"/>
        <v>18341.82</v>
      </c>
      <c r="K110" s="10"/>
      <c r="L110" s="10"/>
      <c r="M110" s="10"/>
      <c r="N110" s="10"/>
      <c r="O110" s="10"/>
      <c r="P110" s="10"/>
      <c r="Q110" s="10"/>
      <c r="R110" s="10"/>
      <c r="S110" s="10"/>
      <c r="T110" s="10"/>
      <c r="U110" s="10"/>
      <c r="V110" s="10"/>
      <c r="W110" s="10"/>
      <c r="X110" s="10"/>
      <c r="Y110" s="10"/>
    </row>
    <row r="111" spans="1:25" s="163" customFormat="1" ht="16.5" customHeight="1" x14ac:dyDescent="0.2">
      <c r="A111" s="316" t="s">
        <v>658</v>
      </c>
      <c r="B111" s="317"/>
      <c r="C111" s="317"/>
      <c r="D111" s="148"/>
      <c r="E111" s="148"/>
      <c r="F111" s="148"/>
      <c r="G111" s="148">
        <v>160</v>
      </c>
      <c r="H111" s="148">
        <v>7</v>
      </c>
      <c r="I111" s="148"/>
      <c r="J111" s="170">
        <f t="shared" si="5"/>
        <v>1120</v>
      </c>
      <c r="K111" s="10"/>
      <c r="L111" s="10"/>
      <c r="M111" s="10"/>
      <c r="N111" s="10"/>
      <c r="O111" s="10"/>
      <c r="P111" s="10"/>
      <c r="Q111" s="10"/>
      <c r="R111" s="10"/>
      <c r="S111" s="10"/>
      <c r="T111" s="10"/>
      <c r="U111" s="10"/>
      <c r="V111" s="10"/>
      <c r="W111" s="10"/>
      <c r="X111" s="10"/>
      <c r="Y111" s="10"/>
    </row>
    <row r="112" spans="1:25" ht="16.5" customHeight="1" x14ac:dyDescent="0.2">
      <c r="A112" s="342" t="str">
        <f>"TOTAL - "&amp;'Planilha orçamentária'!F34</f>
        <v>TOTAL - KG</v>
      </c>
      <c r="B112" s="342"/>
      <c r="C112" s="342"/>
      <c r="D112" s="342"/>
      <c r="E112" s="342"/>
      <c r="F112" s="342"/>
      <c r="G112" s="342"/>
      <c r="H112" s="342"/>
      <c r="I112" s="342"/>
      <c r="J112" s="149">
        <f>SUM(J96:J111)</f>
        <v>82137.159999999974</v>
      </c>
      <c r="K112" s="10"/>
      <c r="L112" s="10"/>
      <c r="M112" s="10"/>
      <c r="N112" s="10"/>
      <c r="O112" s="10"/>
      <c r="P112" s="10"/>
      <c r="Q112" s="10"/>
      <c r="R112" s="10"/>
      <c r="S112" s="10"/>
      <c r="T112" s="10"/>
      <c r="U112" s="10"/>
      <c r="V112" s="10"/>
      <c r="W112" s="10"/>
      <c r="X112" s="10"/>
      <c r="Y112" s="10"/>
    </row>
    <row r="113" spans="1:25" ht="16.5" customHeight="1" x14ac:dyDescent="0.2">
      <c r="A113" s="184" t="str">
        <f>'Planilha orçamentária'!A35</f>
        <v>6.5</v>
      </c>
      <c r="B113" s="343" t="str">
        <f>'Planilha orçamentária'!D35</f>
        <v>Fornecimento de concreto estrutural, usinado bombeado, com Fck 25 MPa, inclusive lançamento, adensamento e acabamento</v>
      </c>
      <c r="C113" s="344"/>
      <c r="D113" s="344"/>
      <c r="E113" s="344"/>
      <c r="F113" s="344"/>
      <c r="G113" s="344"/>
      <c r="H113" s="344"/>
      <c r="I113" s="344"/>
      <c r="J113" s="344"/>
      <c r="K113" s="10"/>
      <c r="L113" s="10"/>
      <c r="M113" s="10"/>
      <c r="N113" s="10"/>
      <c r="O113" s="10"/>
      <c r="P113" s="10"/>
      <c r="Q113" s="10"/>
      <c r="R113" s="10"/>
      <c r="S113" s="10"/>
      <c r="T113" s="10"/>
      <c r="U113" s="10"/>
      <c r="V113" s="10"/>
      <c r="W113" s="10"/>
      <c r="X113" s="10"/>
      <c r="Y113" s="10"/>
    </row>
    <row r="114" spans="1:25" ht="25.5" customHeight="1" x14ac:dyDescent="0.2">
      <c r="A114" s="327" t="s">
        <v>120</v>
      </c>
      <c r="B114" s="328"/>
      <c r="C114" s="328"/>
      <c r="D114" s="182" t="s">
        <v>121</v>
      </c>
      <c r="E114" s="182" t="s">
        <v>122</v>
      </c>
      <c r="F114" s="182" t="s">
        <v>123</v>
      </c>
      <c r="G114" s="181" t="s">
        <v>468</v>
      </c>
      <c r="H114" s="181" t="s">
        <v>489</v>
      </c>
      <c r="I114" s="182" t="s">
        <v>133</v>
      </c>
      <c r="J114" s="182" t="s">
        <v>113</v>
      </c>
      <c r="K114" s="10"/>
      <c r="L114" s="10"/>
      <c r="M114" s="10"/>
      <c r="N114" s="10"/>
      <c r="O114" s="10"/>
      <c r="P114" s="10"/>
      <c r="Q114" s="10"/>
      <c r="R114" s="10"/>
      <c r="S114" s="10"/>
      <c r="T114" s="10"/>
      <c r="U114" s="10"/>
      <c r="V114" s="10"/>
      <c r="W114" s="10"/>
      <c r="X114" s="10"/>
      <c r="Y114" s="10"/>
    </row>
    <row r="115" spans="1:25" s="164" customFormat="1" ht="16.5" customHeight="1" x14ac:dyDescent="0.2">
      <c r="A115" s="316" t="s">
        <v>659</v>
      </c>
      <c r="B115" s="317"/>
      <c r="C115" s="317"/>
      <c r="D115" s="148"/>
      <c r="E115" s="148"/>
      <c r="F115" s="148"/>
      <c r="G115" s="148">
        <v>21.74</v>
      </c>
      <c r="H115" s="148">
        <v>7</v>
      </c>
      <c r="I115" s="148"/>
      <c r="J115" s="170">
        <f t="shared" ref="J115:J130" si="6">PRODUCT(D115:H115)-I115</f>
        <v>152.17999999999998</v>
      </c>
      <c r="K115" s="10"/>
      <c r="L115" s="10"/>
      <c r="M115" s="10"/>
      <c r="N115" s="10"/>
      <c r="O115" s="10"/>
      <c r="P115" s="10"/>
      <c r="Q115" s="10"/>
      <c r="R115" s="10"/>
      <c r="S115" s="10"/>
      <c r="T115" s="10"/>
      <c r="U115" s="10"/>
      <c r="V115" s="10"/>
      <c r="W115" s="10"/>
      <c r="X115" s="10"/>
      <c r="Y115" s="10"/>
    </row>
    <row r="116" spans="1:25" s="164" customFormat="1" ht="16.5" customHeight="1" x14ac:dyDescent="0.2">
      <c r="A116" s="316" t="s">
        <v>660</v>
      </c>
      <c r="B116" s="317"/>
      <c r="C116" s="317"/>
      <c r="D116" s="148"/>
      <c r="E116" s="148"/>
      <c r="F116" s="148"/>
      <c r="G116" s="148">
        <v>6.048</v>
      </c>
      <c r="H116" s="148">
        <v>7</v>
      </c>
      <c r="I116" s="148"/>
      <c r="J116" s="170">
        <f t="shared" si="6"/>
        <v>42.335999999999999</v>
      </c>
      <c r="K116" s="10"/>
      <c r="L116" s="10"/>
      <c r="M116" s="10"/>
      <c r="N116" s="10"/>
      <c r="O116" s="10"/>
      <c r="P116" s="10"/>
      <c r="Q116" s="10"/>
      <c r="R116" s="10"/>
      <c r="S116" s="10"/>
      <c r="T116" s="10"/>
      <c r="U116" s="10"/>
      <c r="V116" s="10"/>
      <c r="W116" s="10"/>
      <c r="X116" s="10"/>
      <c r="Y116" s="10"/>
    </row>
    <row r="117" spans="1:25" s="164" customFormat="1" ht="25.5" customHeight="1" x14ac:dyDescent="0.2">
      <c r="A117" s="316" t="s">
        <v>661</v>
      </c>
      <c r="B117" s="317"/>
      <c r="C117" s="317"/>
      <c r="D117" s="148"/>
      <c r="E117" s="148"/>
      <c r="F117" s="148"/>
      <c r="G117" s="148">
        <f>6.36+4.71+1.03</f>
        <v>12.1</v>
      </c>
      <c r="H117" s="148">
        <v>7</v>
      </c>
      <c r="I117" s="148"/>
      <c r="J117" s="170">
        <f t="shared" si="6"/>
        <v>84.7</v>
      </c>
      <c r="K117" s="10"/>
      <c r="L117" s="10"/>
      <c r="M117" s="10"/>
      <c r="N117" s="10"/>
      <c r="O117" s="10"/>
      <c r="P117" s="10"/>
      <c r="Q117" s="10"/>
      <c r="R117" s="10"/>
      <c r="S117" s="10"/>
      <c r="T117" s="10"/>
      <c r="U117" s="10"/>
      <c r="V117" s="10"/>
      <c r="W117" s="10"/>
      <c r="X117" s="10"/>
      <c r="Y117" s="10"/>
    </row>
    <row r="118" spans="1:25" s="164" customFormat="1" ht="25.5" customHeight="1" x14ac:dyDescent="0.2">
      <c r="A118" s="316" t="s">
        <v>844</v>
      </c>
      <c r="B118" s="317"/>
      <c r="C118" s="317"/>
      <c r="D118" s="148"/>
      <c r="E118" s="148"/>
      <c r="F118" s="148"/>
      <c r="G118" s="148">
        <f>7.51+5.67+1.28</f>
        <v>14.459999999999999</v>
      </c>
      <c r="H118" s="148">
        <v>7</v>
      </c>
      <c r="I118" s="148"/>
      <c r="J118" s="170">
        <f t="shared" si="6"/>
        <v>101.22</v>
      </c>
      <c r="K118" s="10"/>
      <c r="L118" s="10"/>
      <c r="M118" s="10"/>
      <c r="N118" s="10"/>
      <c r="O118" s="10"/>
      <c r="P118" s="10"/>
      <c r="Q118" s="10"/>
      <c r="R118" s="10"/>
      <c r="S118" s="10"/>
      <c r="T118" s="10"/>
      <c r="U118" s="10"/>
      <c r="V118" s="10"/>
      <c r="W118" s="10"/>
      <c r="X118" s="10"/>
      <c r="Y118" s="10"/>
    </row>
    <row r="119" spans="1:25" s="164" customFormat="1" ht="16.5" customHeight="1" x14ac:dyDescent="0.2">
      <c r="A119" s="316" t="s">
        <v>846</v>
      </c>
      <c r="B119" s="317"/>
      <c r="C119" s="317"/>
      <c r="D119" s="148"/>
      <c r="E119" s="148"/>
      <c r="F119" s="148"/>
      <c r="G119" s="148">
        <f>7.51+6.95</f>
        <v>14.46</v>
      </c>
      <c r="H119" s="148">
        <v>7</v>
      </c>
      <c r="I119" s="148"/>
      <c r="J119" s="170">
        <f t="shared" si="6"/>
        <v>101.22</v>
      </c>
      <c r="K119" s="10"/>
      <c r="L119" s="10"/>
      <c r="M119" s="10"/>
      <c r="N119" s="10"/>
      <c r="O119" s="10"/>
      <c r="P119" s="10"/>
      <c r="Q119" s="10"/>
      <c r="R119" s="10"/>
      <c r="S119" s="10"/>
      <c r="T119" s="10"/>
      <c r="U119" s="10"/>
      <c r="V119" s="10"/>
      <c r="W119" s="10"/>
      <c r="X119" s="10"/>
      <c r="Y119" s="10"/>
    </row>
    <row r="120" spans="1:25" s="164" customFormat="1" ht="16.5" customHeight="1" x14ac:dyDescent="0.2">
      <c r="A120" s="316" t="s">
        <v>845</v>
      </c>
      <c r="B120" s="317"/>
      <c r="C120" s="317"/>
      <c r="D120" s="148"/>
      <c r="E120" s="148"/>
      <c r="F120" s="148"/>
      <c r="G120" s="148">
        <f>7.51+6.95</f>
        <v>14.46</v>
      </c>
      <c r="H120" s="148">
        <v>7</v>
      </c>
      <c r="I120" s="148"/>
      <c r="J120" s="170">
        <f t="shared" si="6"/>
        <v>101.22</v>
      </c>
      <c r="K120" s="10"/>
      <c r="L120" s="10"/>
      <c r="M120" s="10"/>
      <c r="N120" s="10"/>
      <c r="O120" s="10"/>
      <c r="P120" s="10"/>
      <c r="Q120" s="10"/>
      <c r="R120" s="10"/>
      <c r="S120" s="10"/>
      <c r="T120" s="10"/>
      <c r="U120" s="10"/>
      <c r="V120" s="10"/>
      <c r="W120" s="10"/>
      <c r="X120" s="10"/>
      <c r="Y120" s="10"/>
    </row>
    <row r="121" spans="1:25" s="164" customFormat="1" ht="25.5" customHeight="1" x14ac:dyDescent="0.2">
      <c r="A121" s="316" t="s">
        <v>840</v>
      </c>
      <c r="B121" s="317"/>
      <c r="C121" s="317"/>
      <c r="D121" s="148"/>
      <c r="E121" s="148"/>
      <c r="F121" s="148"/>
      <c r="G121" s="148">
        <f>7.56+5.13</f>
        <v>12.69</v>
      </c>
      <c r="H121" s="148">
        <v>7</v>
      </c>
      <c r="I121" s="148"/>
      <c r="J121" s="170">
        <f t="shared" si="6"/>
        <v>88.83</v>
      </c>
      <c r="K121" s="10"/>
      <c r="L121" s="10"/>
      <c r="M121" s="10"/>
      <c r="N121" s="10"/>
      <c r="O121" s="10"/>
      <c r="P121" s="10"/>
      <c r="Q121" s="10"/>
      <c r="R121" s="10"/>
      <c r="S121" s="10"/>
      <c r="T121" s="10"/>
      <c r="U121" s="10"/>
      <c r="V121" s="10"/>
      <c r="W121" s="10"/>
      <c r="X121" s="10"/>
      <c r="Y121" s="10"/>
    </row>
    <row r="122" spans="1:25" s="164" customFormat="1" ht="25.5" customHeight="1" x14ac:dyDescent="0.2">
      <c r="A122" s="316" t="s">
        <v>842</v>
      </c>
      <c r="B122" s="317"/>
      <c r="C122" s="317"/>
      <c r="D122" s="148"/>
      <c r="E122" s="148"/>
      <c r="F122" s="148"/>
      <c r="G122" s="148">
        <v>2.14</v>
      </c>
      <c r="H122" s="148">
        <v>7</v>
      </c>
      <c r="I122" s="148"/>
      <c r="J122" s="170">
        <f t="shared" si="6"/>
        <v>14.98</v>
      </c>
      <c r="K122" s="10"/>
      <c r="L122" s="10"/>
      <c r="M122" s="10"/>
      <c r="N122" s="10"/>
      <c r="O122" s="10"/>
      <c r="P122" s="10"/>
      <c r="Q122" s="10"/>
      <c r="R122" s="10"/>
      <c r="S122" s="10"/>
      <c r="T122" s="10"/>
      <c r="U122" s="10"/>
      <c r="V122" s="10"/>
      <c r="W122" s="10"/>
      <c r="X122" s="10"/>
      <c r="Y122" s="10"/>
    </row>
    <row r="123" spans="1:25" s="164" customFormat="1" ht="25.5" customHeight="1" x14ac:dyDescent="0.2">
      <c r="A123" s="316" t="s">
        <v>843</v>
      </c>
      <c r="B123" s="317"/>
      <c r="C123" s="317"/>
      <c r="D123" s="148"/>
      <c r="E123" s="148"/>
      <c r="F123" s="148"/>
      <c r="G123" s="148">
        <v>0.87</v>
      </c>
      <c r="H123" s="148">
        <v>7</v>
      </c>
      <c r="I123" s="148"/>
      <c r="J123" s="170">
        <f t="shared" si="6"/>
        <v>6.09</v>
      </c>
      <c r="K123" s="10"/>
      <c r="L123" s="10"/>
      <c r="M123" s="10"/>
      <c r="N123" s="10"/>
      <c r="O123" s="10"/>
      <c r="P123" s="10"/>
      <c r="Q123" s="10"/>
      <c r="R123" s="10"/>
      <c r="S123" s="10"/>
      <c r="T123" s="10"/>
      <c r="U123" s="10"/>
      <c r="V123" s="10"/>
      <c r="W123" s="10"/>
      <c r="X123" s="10"/>
      <c r="Y123" s="10"/>
    </row>
    <row r="124" spans="1:25" s="164" customFormat="1" ht="16.5" customHeight="1" x14ac:dyDescent="0.2">
      <c r="A124" s="316" t="s">
        <v>663</v>
      </c>
      <c r="B124" s="317"/>
      <c r="C124" s="317"/>
      <c r="D124" s="148"/>
      <c r="E124" s="148"/>
      <c r="F124" s="148"/>
      <c r="G124" s="148">
        <v>20.67</v>
      </c>
      <c r="H124" s="148">
        <v>7</v>
      </c>
      <c r="I124" s="148"/>
      <c r="J124" s="170">
        <f t="shared" si="6"/>
        <v>144.69</v>
      </c>
      <c r="K124" s="10"/>
      <c r="L124" s="10"/>
      <c r="M124" s="10"/>
      <c r="N124" s="10"/>
      <c r="O124" s="10"/>
      <c r="P124" s="10"/>
      <c r="Q124" s="10"/>
      <c r="R124" s="10"/>
      <c r="S124" s="10"/>
      <c r="T124" s="10"/>
      <c r="U124" s="10"/>
      <c r="V124" s="10"/>
      <c r="W124" s="10"/>
      <c r="X124" s="10"/>
      <c r="Y124" s="10"/>
    </row>
    <row r="125" spans="1:25" s="164" customFormat="1" ht="16.5" customHeight="1" x14ac:dyDescent="0.2">
      <c r="A125" s="316" t="s">
        <v>664</v>
      </c>
      <c r="B125" s="317"/>
      <c r="C125" s="317"/>
      <c r="D125" s="148"/>
      <c r="E125" s="148"/>
      <c r="F125" s="148"/>
      <c r="G125" s="148">
        <v>20.68</v>
      </c>
      <c r="H125" s="148">
        <v>7</v>
      </c>
      <c r="I125" s="148"/>
      <c r="J125" s="170">
        <f t="shared" si="6"/>
        <v>144.76</v>
      </c>
      <c r="K125" s="10"/>
      <c r="L125" s="10"/>
      <c r="M125" s="10"/>
      <c r="N125" s="10"/>
      <c r="O125" s="10"/>
      <c r="P125" s="10"/>
      <c r="Q125" s="10"/>
      <c r="R125" s="10"/>
      <c r="S125" s="10"/>
      <c r="T125" s="10"/>
      <c r="U125" s="10"/>
      <c r="V125" s="10"/>
      <c r="W125" s="10"/>
      <c r="X125" s="10"/>
      <c r="Y125" s="10"/>
    </row>
    <row r="126" spans="1:25" s="164" customFormat="1" ht="16.5" customHeight="1" x14ac:dyDescent="0.2">
      <c r="A126" s="316" t="s">
        <v>665</v>
      </c>
      <c r="B126" s="317"/>
      <c r="C126" s="317"/>
      <c r="D126" s="148"/>
      <c r="E126" s="148"/>
      <c r="F126" s="148"/>
      <c r="G126" s="148">
        <v>20.68</v>
      </c>
      <c r="H126" s="148">
        <v>7</v>
      </c>
      <c r="I126" s="148"/>
      <c r="J126" s="170">
        <f t="shared" si="6"/>
        <v>144.76</v>
      </c>
      <c r="K126" s="10"/>
      <c r="L126" s="10"/>
      <c r="M126" s="10"/>
      <c r="N126" s="10"/>
      <c r="O126" s="10"/>
      <c r="P126" s="10"/>
      <c r="Q126" s="10"/>
      <c r="R126" s="10"/>
      <c r="S126" s="10"/>
      <c r="T126" s="10"/>
      <c r="U126" s="10"/>
      <c r="V126" s="10"/>
      <c r="W126" s="10"/>
      <c r="X126" s="10"/>
      <c r="Y126" s="10"/>
    </row>
    <row r="127" spans="1:25" s="164" customFormat="1" ht="16.5" customHeight="1" x14ac:dyDescent="0.2">
      <c r="A127" s="316" t="s">
        <v>666</v>
      </c>
      <c r="B127" s="317"/>
      <c r="C127" s="317"/>
      <c r="D127" s="148"/>
      <c r="E127" s="148"/>
      <c r="F127" s="148"/>
      <c r="G127" s="148">
        <v>19.649999999999999</v>
      </c>
      <c r="H127" s="148">
        <v>7</v>
      </c>
      <c r="I127" s="148"/>
      <c r="J127" s="170">
        <f t="shared" si="6"/>
        <v>137.54999999999998</v>
      </c>
      <c r="K127" s="10"/>
      <c r="L127" s="10"/>
      <c r="M127" s="10"/>
      <c r="N127" s="10"/>
      <c r="O127" s="10"/>
      <c r="P127" s="10"/>
      <c r="Q127" s="10"/>
      <c r="R127" s="10"/>
      <c r="S127" s="10"/>
      <c r="T127" s="10"/>
      <c r="U127" s="10"/>
      <c r="V127" s="10"/>
      <c r="W127" s="10"/>
      <c r="X127" s="10"/>
      <c r="Y127" s="10"/>
    </row>
    <row r="128" spans="1:25" s="164" customFormat="1" ht="16.5" customHeight="1" x14ac:dyDescent="0.2">
      <c r="A128" s="316" t="s">
        <v>667</v>
      </c>
      <c r="B128" s="317"/>
      <c r="C128" s="317"/>
      <c r="D128" s="148"/>
      <c r="E128" s="148"/>
      <c r="F128" s="148"/>
      <c r="G128" s="148">
        <v>2.3199999999999998</v>
      </c>
      <c r="H128" s="148">
        <v>7</v>
      </c>
      <c r="I128" s="148"/>
      <c r="J128" s="170">
        <f t="shared" si="6"/>
        <v>16.239999999999998</v>
      </c>
      <c r="K128" s="10"/>
      <c r="L128" s="10"/>
      <c r="M128" s="10"/>
      <c r="N128" s="10"/>
      <c r="O128" s="10"/>
      <c r="P128" s="10"/>
      <c r="Q128" s="10"/>
      <c r="R128" s="10"/>
      <c r="S128" s="10"/>
      <c r="T128" s="10"/>
      <c r="U128" s="10"/>
      <c r="V128" s="10"/>
      <c r="W128" s="10"/>
      <c r="X128" s="10"/>
      <c r="Y128" s="10"/>
    </row>
    <row r="129" spans="1:25" s="164" customFormat="1" ht="16.5" customHeight="1" x14ac:dyDescent="0.2">
      <c r="A129" s="316" t="s">
        <v>668</v>
      </c>
      <c r="B129" s="317"/>
      <c r="C129" s="317"/>
      <c r="D129" s="148"/>
      <c r="E129" s="148"/>
      <c r="F129" s="148"/>
      <c r="G129" s="148">
        <f>14.27+6.69</f>
        <v>20.96</v>
      </c>
      <c r="H129" s="148">
        <v>7</v>
      </c>
      <c r="I129" s="148"/>
      <c r="J129" s="170">
        <f t="shared" si="6"/>
        <v>146.72</v>
      </c>
      <c r="K129" s="10"/>
      <c r="L129" s="10"/>
      <c r="M129" s="10"/>
      <c r="N129" s="10"/>
      <c r="O129" s="10"/>
      <c r="P129" s="10"/>
      <c r="Q129" s="10"/>
      <c r="R129" s="10"/>
      <c r="S129" s="10"/>
      <c r="T129" s="10"/>
      <c r="U129" s="10"/>
      <c r="V129" s="10"/>
      <c r="W129" s="10"/>
      <c r="X129" s="10"/>
      <c r="Y129" s="10"/>
    </row>
    <row r="130" spans="1:25" s="164" customFormat="1" ht="16.5" customHeight="1" x14ac:dyDescent="0.2">
      <c r="A130" s="316" t="s">
        <v>658</v>
      </c>
      <c r="B130" s="317"/>
      <c r="C130" s="317"/>
      <c r="D130" s="148"/>
      <c r="E130" s="148"/>
      <c r="F130" s="148"/>
      <c r="G130" s="148">
        <v>13.247999999999998</v>
      </c>
      <c r="H130" s="148">
        <v>7</v>
      </c>
      <c r="I130" s="148"/>
      <c r="J130" s="170">
        <f t="shared" si="6"/>
        <v>92.73599999999999</v>
      </c>
      <c r="K130" s="10"/>
      <c r="L130" s="10"/>
      <c r="M130" s="10"/>
      <c r="N130" s="10"/>
      <c r="O130" s="10"/>
      <c r="P130" s="10"/>
      <c r="Q130" s="10"/>
      <c r="R130" s="10"/>
      <c r="S130" s="10"/>
      <c r="T130" s="10"/>
      <c r="U130" s="10"/>
      <c r="V130" s="10"/>
      <c r="W130" s="10"/>
      <c r="X130" s="10"/>
      <c r="Y130" s="10"/>
    </row>
    <row r="131" spans="1:25" s="164" customFormat="1" ht="16.5" customHeight="1" x14ac:dyDescent="0.2">
      <c r="A131" s="342" t="str">
        <f>"TOTAL - "&amp;'Planilha orçamentária'!F35</f>
        <v>TOTAL - M3</v>
      </c>
      <c r="B131" s="342"/>
      <c r="C131" s="342"/>
      <c r="D131" s="342"/>
      <c r="E131" s="342"/>
      <c r="F131" s="342"/>
      <c r="G131" s="342"/>
      <c r="H131" s="342"/>
      <c r="I131" s="342"/>
      <c r="J131" s="149">
        <f>SUM(J115:J130)</f>
        <v>1520.232</v>
      </c>
      <c r="K131" s="10"/>
      <c r="L131" s="10"/>
      <c r="M131" s="10"/>
      <c r="N131" s="10"/>
      <c r="O131" s="10"/>
      <c r="P131" s="10"/>
      <c r="Q131" s="10"/>
      <c r="R131" s="10"/>
      <c r="S131" s="10"/>
      <c r="T131" s="10"/>
      <c r="U131" s="10"/>
      <c r="V131" s="10"/>
      <c r="W131" s="10"/>
      <c r="X131" s="10"/>
      <c r="Y131" s="10"/>
    </row>
    <row r="132" spans="1:25" ht="16.5" customHeight="1" x14ac:dyDescent="0.2">
      <c r="A132" s="184" t="str">
        <f>'Planilha orçamentária'!A36</f>
        <v>6.6</v>
      </c>
      <c r="B132" s="343" t="str">
        <f>'Planilha orçamentária'!D36</f>
        <v>Escoramento metálico para laje e viga em concreto armado, tipo "a", altura de (200 até 310)cm, inclusive descarga, montagem, desmontagem e carga</v>
      </c>
      <c r="C132" s="344"/>
      <c r="D132" s="344"/>
      <c r="E132" s="344"/>
      <c r="F132" s="344"/>
      <c r="G132" s="344"/>
      <c r="H132" s="344"/>
      <c r="I132" s="344"/>
      <c r="J132" s="344"/>
      <c r="K132" s="10"/>
      <c r="L132" s="10"/>
      <c r="M132" s="10"/>
      <c r="N132" s="10"/>
      <c r="O132" s="10"/>
      <c r="P132" s="10"/>
      <c r="Q132" s="10"/>
      <c r="R132" s="10"/>
      <c r="S132" s="10"/>
      <c r="T132" s="10"/>
      <c r="U132" s="10"/>
      <c r="V132" s="10"/>
      <c r="W132" s="10"/>
      <c r="X132" s="10"/>
      <c r="Y132" s="10"/>
    </row>
    <row r="133" spans="1:25" ht="16.5" customHeight="1" x14ac:dyDescent="0.2">
      <c r="A133" s="327" t="s">
        <v>120</v>
      </c>
      <c r="B133" s="328"/>
      <c r="C133" s="328"/>
      <c r="D133" s="182" t="s">
        <v>121</v>
      </c>
      <c r="E133" s="182" t="s">
        <v>122</v>
      </c>
      <c r="F133" s="182" t="s">
        <v>123</v>
      </c>
      <c r="G133" s="182" t="s">
        <v>124</v>
      </c>
      <c r="H133" s="182" t="s">
        <v>125</v>
      </c>
      <c r="I133" s="182" t="s">
        <v>126</v>
      </c>
      <c r="J133" s="182" t="s">
        <v>113</v>
      </c>
      <c r="K133" s="10"/>
      <c r="L133" s="10"/>
      <c r="M133" s="10"/>
      <c r="N133" s="10"/>
      <c r="O133" s="10"/>
      <c r="P133" s="10"/>
      <c r="Q133" s="10"/>
      <c r="R133" s="10"/>
      <c r="S133" s="10"/>
      <c r="T133" s="10"/>
      <c r="U133" s="10"/>
      <c r="V133" s="10"/>
      <c r="W133" s="10"/>
      <c r="X133" s="10"/>
      <c r="Y133" s="10"/>
    </row>
    <row r="134" spans="1:25" s="165" customFormat="1" ht="16.5" customHeight="1" x14ac:dyDescent="0.2">
      <c r="A134" s="316" t="s">
        <v>653</v>
      </c>
      <c r="B134" s="317"/>
      <c r="C134" s="317"/>
      <c r="D134" s="148"/>
      <c r="E134" s="148"/>
      <c r="F134" s="148"/>
      <c r="G134" s="148">
        <v>7</v>
      </c>
      <c r="H134" s="148">
        <v>172.29</v>
      </c>
      <c r="I134" s="148"/>
      <c r="J134" s="170">
        <f t="shared" ref="J134:J138" si="7">PRODUCT(D134:H134)-I134</f>
        <v>1206.03</v>
      </c>
      <c r="K134" s="10"/>
      <c r="L134" s="10"/>
      <c r="M134" s="10"/>
      <c r="N134" s="10"/>
      <c r="O134" s="10"/>
      <c r="P134" s="10"/>
      <c r="Q134" s="10"/>
      <c r="R134" s="10"/>
      <c r="S134" s="10"/>
      <c r="T134" s="10"/>
      <c r="U134" s="10"/>
      <c r="V134" s="10"/>
      <c r="W134" s="10"/>
      <c r="X134" s="10"/>
      <c r="Y134" s="10"/>
    </row>
    <row r="135" spans="1:25" s="165" customFormat="1" ht="16.5" customHeight="1" x14ac:dyDescent="0.2">
      <c r="A135" s="316" t="s">
        <v>654</v>
      </c>
      <c r="B135" s="317"/>
      <c r="C135" s="317"/>
      <c r="D135" s="148"/>
      <c r="E135" s="148"/>
      <c r="F135" s="148"/>
      <c r="G135" s="148">
        <v>7</v>
      </c>
      <c r="H135" s="148">
        <v>172.29</v>
      </c>
      <c r="I135" s="148"/>
      <c r="J135" s="170">
        <f t="shared" si="7"/>
        <v>1206.03</v>
      </c>
      <c r="K135" s="10"/>
      <c r="L135" s="10"/>
      <c r="M135" s="10"/>
      <c r="N135" s="10"/>
      <c r="O135" s="10"/>
      <c r="P135" s="10"/>
      <c r="Q135" s="10"/>
      <c r="R135" s="10"/>
      <c r="S135" s="10"/>
      <c r="T135" s="10"/>
      <c r="U135" s="10"/>
      <c r="V135" s="10"/>
      <c r="W135" s="10"/>
      <c r="X135" s="10"/>
      <c r="Y135" s="10"/>
    </row>
    <row r="136" spans="1:25" s="165" customFormat="1" ht="16.5" customHeight="1" x14ac:dyDescent="0.2">
      <c r="A136" s="316" t="s">
        <v>655</v>
      </c>
      <c r="B136" s="317"/>
      <c r="C136" s="317"/>
      <c r="D136" s="148"/>
      <c r="E136" s="148"/>
      <c r="F136" s="148"/>
      <c r="G136" s="148">
        <v>7</v>
      </c>
      <c r="H136" s="148">
        <v>172.29</v>
      </c>
      <c r="I136" s="148"/>
      <c r="J136" s="170">
        <f t="shared" si="7"/>
        <v>1206.03</v>
      </c>
      <c r="K136" s="10"/>
      <c r="L136" s="10"/>
      <c r="M136" s="10"/>
      <c r="N136" s="10"/>
      <c r="O136" s="10"/>
      <c r="P136" s="10"/>
      <c r="Q136" s="10"/>
      <c r="R136" s="10"/>
      <c r="S136" s="10"/>
      <c r="T136" s="10"/>
      <c r="U136" s="10"/>
      <c r="V136" s="10"/>
      <c r="W136" s="10"/>
      <c r="X136" s="10"/>
      <c r="Y136" s="10"/>
    </row>
    <row r="137" spans="1:25" s="165" customFormat="1" ht="16.5" customHeight="1" x14ac:dyDescent="0.2">
      <c r="A137" s="316" t="s">
        <v>669</v>
      </c>
      <c r="B137" s="317"/>
      <c r="C137" s="317"/>
      <c r="D137" s="148"/>
      <c r="E137" s="148"/>
      <c r="F137" s="148"/>
      <c r="G137" s="148">
        <v>7</v>
      </c>
      <c r="H137" s="148">
        <v>163.76</v>
      </c>
      <c r="I137" s="148"/>
      <c r="J137" s="170">
        <f t="shared" si="7"/>
        <v>1146.32</v>
      </c>
      <c r="K137" s="10"/>
      <c r="L137" s="10"/>
      <c r="M137" s="10"/>
      <c r="N137" s="10"/>
      <c r="O137" s="10"/>
      <c r="P137" s="10"/>
      <c r="Q137" s="10"/>
      <c r="R137" s="10"/>
      <c r="S137" s="10"/>
      <c r="T137" s="10"/>
      <c r="U137" s="10"/>
      <c r="V137" s="10"/>
      <c r="W137" s="10"/>
      <c r="X137" s="10"/>
      <c r="Y137" s="10"/>
    </row>
    <row r="138" spans="1:25" s="165" customFormat="1" ht="16.5" customHeight="1" x14ac:dyDescent="0.2">
      <c r="A138" s="316" t="s">
        <v>670</v>
      </c>
      <c r="B138" s="317"/>
      <c r="C138" s="317"/>
      <c r="D138" s="148"/>
      <c r="E138" s="148"/>
      <c r="F138" s="148"/>
      <c r="G138" s="148">
        <v>7</v>
      </c>
      <c r="H138" s="148">
        <v>19.309999999999999</v>
      </c>
      <c r="I138" s="148"/>
      <c r="J138" s="170">
        <f t="shared" si="7"/>
        <v>135.16999999999999</v>
      </c>
      <c r="K138" s="10"/>
      <c r="L138" s="10"/>
      <c r="M138" s="10"/>
      <c r="N138" s="10"/>
      <c r="O138" s="10"/>
      <c r="P138" s="10"/>
      <c r="Q138" s="10"/>
      <c r="R138" s="10"/>
      <c r="S138" s="10"/>
      <c r="T138" s="10"/>
      <c r="U138" s="10"/>
      <c r="V138" s="10"/>
      <c r="W138" s="10"/>
      <c r="X138" s="10"/>
      <c r="Y138" s="10"/>
    </row>
    <row r="139" spans="1:25" ht="16.5" customHeight="1" x14ac:dyDescent="0.2">
      <c r="A139" s="342" t="str">
        <f>"TOTAL - "&amp;'Planilha orçamentária'!F36</f>
        <v>TOTAL - M2XMÊS</v>
      </c>
      <c r="B139" s="342"/>
      <c r="C139" s="342"/>
      <c r="D139" s="342"/>
      <c r="E139" s="342"/>
      <c r="F139" s="342"/>
      <c r="G139" s="342"/>
      <c r="H139" s="342"/>
      <c r="I139" s="342"/>
      <c r="J139" s="149">
        <f>SUM(J134:J138)</f>
        <v>4899.58</v>
      </c>
      <c r="K139" s="10"/>
      <c r="L139" s="10"/>
      <c r="M139" s="10"/>
      <c r="N139" s="10"/>
      <c r="O139" s="10"/>
      <c r="P139" s="10"/>
      <c r="Q139" s="10"/>
      <c r="R139" s="10"/>
      <c r="S139" s="10"/>
      <c r="T139" s="10"/>
      <c r="U139" s="10"/>
      <c r="V139" s="10"/>
      <c r="W139" s="10"/>
      <c r="X139" s="10"/>
      <c r="Y139" s="10"/>
    </row>
    <row r="140" spans="1:25" s="166" customFormat="1" ht="16.5" customHeight="1" x14ac:dyDescent="0.2">
      <c r="A140" s="184" t="str">
        <f>'Planilha orçamentária'!A37</f>
        <v>6.7</v>
      </c>
      <c r="B140" s="343" t="str">
        <f>'Planilha orçamentária'!D37</f>
        <v>Verga em concreto estrutural para vãos de até 150cm, preparado em obra com betoneira, controle "a", com fck 20 MPa, moldada in loco, inclusive armação</v>
      </c>
      <c r="C140" s="344"/>
      <c r="D140" s="344"/>
      <c r="E140" s="344"/>
      <c r="F140" s="344"/>
      <c r="G140" s="344"/>
      <c r="H140" s="344"/>
      <c r="I140" s="344"/>
      <c r="J140" s="344"/>
      <c r="K140" s="10"/>
      <c r="L140" s="10"/>
      <c r="M140" s="10"/>
      <c r="N140" s="10"/>
      <c r="O140" s="10"/>
      <c r="P140" s="10"/>
      <c r="Q140" s="10"/>
      <c r="R140" s="10"/>
      <c r="S140" s="10"/>
      <c r="T140" s="10"/>
      <c r="U140" s="10"/>
      <c r="V140" s="10"/>
      <c r="W140" s="10"/>
      <c r="X140" s="10"/>
      <c r="Y140" s="10"/>
    </row>
    <row r="141" spans="1:25" s="166" customFormat="1" ht="25.5" customHeight="1" x14ac:dyDescent="0.2">
      <c r="A141" s="327" t="s">
        <v>120</v>
      </c>
      <c r="B141" s="328"/>
      <c r="C141" s="328"/>
      <c r="D141" s="208" t="s">
        <v>121</v>
      </c>
      <c r="E141" s="208" t="s">
        <v>122</v>
      </c>
      <c r="F141" s="208" t="s">
        <v>123</v>
      </c>
      <c r="G141" s="209" t="s">
        <v>468</v>
      </c>
      <c r="H141" s="209" t="s">
        <v>489</v>
      </c>
      <c r="I141" s="208" t="s">
        <v>126</v>
      </c>
      <c r="J141" s="208" t="s">
        <v>113</v>
      </c>
      <c r="K141" s="10"/>
      <c r="L141" s="10"/>
      <c r="M141" s="10"/>
      <c r="N141" s="10"/>
      <c r="O141" s="10"/>
      <c r="P141" s="10"/>
      <c r="Q141" s="10"/>
      <c r="R141" s="10"/>
      <c r="S141" s="10"/>
      <c r="T141" s="10"/>
      <c r="U141" s="10"/>
      <c r="V141" s="10"/>
      <c r="W141" s="10"/>
      <c r="X141" s="10"/>
      <c r="Y141" s="10"/>
    </row>
    <row r="142" spans="1:25" s="166" customFormat="1" ht="16.5" customHeight="1" x14ac:dyDescent="0.2">
      <c r="A142" s="336" t="s">
        <v>885</v>
      </c>
      <c r="B142" s="337"/>
      <c r="C142" s="337"/>
      <c r="D142" s="337"/>
      <c r="E142" s="337"/>
      <c r="F142" s="337"/>
      <c r="G142" s="337"/>
      <c r="H142" s="337"/>
      <c r="I142" s="337"/>
      <c r="J142" s="338"/>
      <c r="K142" s="10"/>
      <c r="L142" s="10"/>
      <c r="M142" s="10"/>
      <c r="N142" s="10"/>
      <c r="O142" s="10"/>
      <c r="P142" s="10"/>
      <c r="Q142" s="10"/>
      <c r="R142" s="10"/>
      <c r="S142" s="10"/>
      <c r="T142" s="10"/>
      <c r="U142" s="10"/>
      <c r="V142" s="10"/>
      <c r="W142" s="10"/>
      <c r="X142" s="10"/>
      <c r="Y142" s="10"/>
    </row>
    <row r="143" spans="1:25" s="166" customFormat="1" ht="16.5" customHeight="1" x14ac:dyDescent="0.2">
      <c r="A143" s="358" t="s">
        <v>671</v>
      </c>
      <c r="B143" s="359"/>
      <c r="C143" s="360"/>
      <c r="D143" s="148">
        <f>0.7+0.15+0.15</f>
        <v>1</v>
      </c>
      <c r="E143" s="148">
        <v>0.15</v>
      </c>
      <c r="F143" s="148">
        <v>0.1</v>
      </c>
      <c r="G143" s="148">
        <v>3</v>
      </c>
      <c r="H143" s="148">
        <v>7</v>
      </c>
      <c r="I143" s="207"/>
      <c r="J143" s="170">
        <f t="shared" ref="J143:J177" si="8">PRODUCT(D143:H143)-I143</f>
        <v>0.315</v>
      </c>
      <c r="K143" s="10"/>
      <c r="L143" s="10"/>
      <c r="M143" s="10"/>
      <c r="N143" s="10"/>
      <c r="O143" s="10"/>
      <c r="P143" s="10"/>
      <c r="Q143" s="10"/>
      <c r="R143" s="10"/>
      <c r="S143" s="10"/>
      <c r="T143" s="10"/>
      <c r="U143" s="10"/>
      <c r="V143" s="10"/>
      <c r="W143" s="10"/>
      <c r="X143" s="10"/>
      <c r="Y143" s="10"/>
    </row>
    <row r="144" spans="1:25" s="166" customFormat="1" ht="16.5" customHeight="1" x14ac:dyDescent="0.2">
      <c r="A144" s="361"/>
      <c r="B144" s="362"/>
      <c r="C144" s="363"/>
      <c r="D144" s="148">
        <f>0.8+0.15+0.15</f>
        <v>1.1000000000000001</v>
      </c>
      <c r="E144" s="148">
        <v>0.15</v>
      </c>
      <c r="F144" s="148">
        <v>0.1</v>
      </c>
      <c r="G144" s="148">
        <v>1</v>
      </c>
      <c r="H144" s="148">
        <v>7</v>
      </c>
      <c r="I144" s="207"/>
      <c r="J144" s="170">
        <f t="shared" si="8"/>
        <v>0.11550000000000001</v>
      </c>
      <c r="K144" s="10"/>
      <c r="L144" s="10"/>
      <c r="M144" s="10"/>
      <c r="N144" s="10"/>
      <c r="O144" s="10"/>
      <c r="P144" s="10"/>
      <c r="Q144" s="10"/>
      <c r="R144" s="10"/>
      <c r="S144" s="10"/>
      <c r="T144" s="10"/>
      <c r="U144" s="10"/>
      <c r="V144" s="10"/>
      <c r="W144" s="10"/>
      <c r="X144" s="10"/>
      <c r="Y144" s="10"/>
    </row>
    <row r="145" spans="1:25" s="166" customFormat="1" ht="16.5" customHeight="1" x14ac:dyDescent="0.2">
      <c r="A145" s="358" t="s">
        <v>672</v>
      </c>
      <c r="B145" s="359"/>
      <c r="C145" s="360"/>
      <c r="D145" s="148">
        <f t="shared" ref="D145:D172" si="9">0.7+0.15+0.15</f>
        <v>1</v>
      </c>
      <c r="E145" s="148">
        <v>0.15</v>
      </c>
      <c r="F145" s="148">
        <v>0.1</v>
      </c>
      <c r="G145" s="148">
        <v>3</v>
      </c>
      <c r="H145" s="148">
        <v>7</v>
      </c>
      <c r="I145" s="207"/>
      <c r="J145" s="170">
        <f t="shared" si="8"/>
        <v>0.315</v>
      </c>
      <c r="K145" s="10"/>
      <c r="L145" s="10"/>
      <c r="M145" s="10"/>
      <c r="N145" s="10"/>
      <c r="O145" s="10"/>
      <c r="P145" s="10"/>
      <c r="Q145" s="10"/>
      <c r="R145" s="10"/>
      <c r="S145" s="10"/>
      <c r="T145" s="10"/>
      <c r="U145" s="10"/>
      <c r="V145" s="10"/>
      <c r="W145" s="10"/>
      <c r="X145" s="10"/>
      <c r="Y145" s="10"/>
    </row>
    <row r="146" spans="1:25" s="166" customFormat="1" ht="16.5" customHeight="1" x14ac:dyDescent="0.2">
      <c r="A146" s="361"/>
      <c r="B146" s="362"/>
      <c r="C146" s="363"/>
      <c r="D146" s="148">
        <f>0.8+0.15+0.15</f>
        <v>1.1000000000000001</v>
      </c>
      <c r="E146" s="148">
        <v>0.15</v>
      </c>
      <c r="F146" s="148">
        <v>0.1</v>
      </c>
      <c r="G146" s="148">
        <v>1</v>
      </c>
      <c r="H146" s="148">
        <v>7</v>
      </c>
      <c r="I146" s="207"/>
      <c r="J146" s="170">
        <f t="shared" si="8"/>
        <v>0.11550000000000001</v>
      </c>
      <c r="K146" s="10"/>
      <c r="L146" s="10"/>
      <c r="M146" s="10"/>
      <c r="N146" s="10"/>
      <c r="O146" s="10"/>
      <c r="P146" s="10"/>
      <c r="Q146" s="10"/>
      <c r="R146" s="10"/>
      <c r="S146" s="10"/>
      <c r="T146" s="10"/>
      <c r="U146" s="10"/>
      <c r="V146" s="10"/>
      <c r="W146" s="10"/>
      <c r="X146" s="10"/>
      <c r="Y146" s="10"/>
    </row>
    <row r="147" spans="1:25" s="166" customFormat="1" ht="16.5" customHeight="1" x14ac:dyDescent="0.2">
      <c r="A147" s="358" t="s">
        <v>673</v>
      </c>
      <c r="B147" s="359"/>
      <c r="C147" s="360"/>
      <c r="D147" s="148">
        <f>0.8+0.15+0.15</f>
        <v>1.1000000000000001</v>
      </c>
      <c r="E147" s="148">
        <v>0.15</v>
      </c>
      <c r="F147" s="148">
        <v>0.1</v>
      </c>
      <c r="G147" s="148">
        <v>4</v>
      </c>
      <c r="H147" s="148">
        <v>7</v>
      </c>
      <c r="I147" s="207"/>
      <c r="J147" s="170">
        <f t="shared" si="8"/>
        <v>0.46200000000000002</v>
      </c>
      <c r="K147" s="10"/>
      <c r="L147" s="10"/>
      <c r="M147" s="10"/>
      <c r="N147" s="10"/>
      <c r="O147" s="10"/>
      <c r="P147" s="10"/>
      <c r="Q147" s="10"/>
      <c r="R147" s="10"/>
      <c r="S147" s="10"/>
      <c r="T147" s="10"/>
      <c r="U147" s="10"/>
      <c r="V147" s="10"/>
      <c r="W147" s="10"/>
      <c r="X147" s="10"/>
      <c r="Y147" s="10"/>
    </row>
    <row r="148" spans="1:25" s="166" customFormat="1" ht="16.5" customHeight="1" x14ac:dyDescent="0.2">
      <c r="A148" s="358" t="s">
        <v>674</v>
      </c>
      <c r="B148" s="359"/>
      <c r="C148" s="360"/>
      <c r="D148" s="148">
        <f t="shared" si="9"/>
        <v>1</v>
      </c>
      <c r="E148" s="148">
        <v>0.15</v>
      </c>
      <c r="F148" s="148">
        <v>0.1</v>
      </c>
      <c r="G148" s="148">
        <v>3</v>
      </c>
      <c r="H148" s="148">
        <v>7</v>
      </c>
      <c r="I148" s="207"/>
      <c r="J148" s="170">
        <f t="shared" si="8"/>
        <v>0.315</v>
      </c>
      <c r="K148" s="10"/>
      <c r="L148" s="10"/>
      <c r="M148" s="10"/>
      <c r="N148" s="10"/>
      <c r="O148" s="10"/>
      <c r="P148" s="10"/>
      <c r="Q148" s="10"/>
      <c r="R148" s="10"/>
      <c r="S148" s="10"/>
      <c r="T148" s="10"/>
      <c r="U148" s="10"/>
      <c r="V148" s="10"/>
      <c r="W148" s="10"/>
      <c r="X148" s="10"/>
      <c r="Y148" s="10"/>
    </row>
    <row r="149" spans="1:25" s="166" customFormat="1" ht="16.5" customHeight="1" x14ac:dyDescent="0.2">
      <c r="A149" s="361"/>
      <c r="B149" s="362"/>
      <c r="C149" s="363"/>
      <c r="D149" s="148">
        <f>0.8+0.15+0.15</f>
        <v>1.1000000000000001</v>
      </c>
      <c r="E149" s="148">
        <v>0.15</v>
      </c>
      <c r="F149" s="148">
        <v>0.1</v>
      </c>
      <c r="G149" s="148">
        <v>1</v>
      </c>
      <c r="H149" s="148">
        <v>7</v>
      </c>
      <c r="I149" s="207"/>
      <c r="J149" s="170">
        <f t="shared" si="8"/>
        <v>0.11550000000000001</v>
      </c>
      <c r="K149" s="10"/>
      <c r="L149" s="10"/>
      <c r="M149" s="10"/>
      <c r="N149" s="10"/>
      <c r="O149" s="10"/>
      <c r="P149" s="10"/>
      <c r="Q149" s="10"/>
      <c r="R149" s="10"/>
      <c r="S149" s="10"/>
      <c r="T149" s="10"/>
      <c r="U149" s="10"/>
      <c r="V149" s="10"/>
      <c r="W149" s="10"/>
      <c r="X149" s="10"/>
      <c r="Y149" s="10"/>
    </row>
    <row r="150" spans="1:25" s="166" customFormat="1" ht="16.5" customHeight="1" x14ac:dyDescent="0.2">
      <c r="A150" s="358" t="s">
        <v>675</v>
      </c>
      <c r="B150" s="359"/>
      <c r="C150" s="360"/>
      <c r="D150" s="148">
        <f t="shared" si="9"/>
        <v>1</v>
      </c>
      <c r="E150" s="148">
        <v>0.15</v>
      </c>
      <c r="F150" s="148">
        <v>0.1</v>
      </c>
      <c r="G150" s="148">
        <v>3</v>
      </c>
      <c r="H150" s="148">
        <v>7</v>
      </c>
      <c r="I150" s="207"/>
      <c r="J150" s="170">
        <f t="shared" si="8"/>
        <v>0.315</v>
      </c>
      <c r="K150" s="10"/>
      <c r="L150" s="10"/>
      <c r="M150" s="10"/>
      <c r="N150" s="10"/>
      <c r="O150" s="10"/>
      <c r="P150" s="10"/>
      <c r="Q150" s="10"/>
      <c r="R150" s="10"/>
      <c r="S150" s="10"/>
      <c r="T150" s="10"/>
      <c r="U150" s="10"/>
      <c r="V150" s="10"/>
      <c r="W150" s="10"/>
      <c r="X150" s="10"/>
      <c r="Y150" s="10"/>
    </row>
    <row r="151" spans="1:25" s="166" customFormat="1" ht="16.5" customHeight="1" x14ac:dyDescent="0.2">
      <c r="A151" s="361"/>
      <c r="B151" s="362"/>
      <c r="C151" s="363"/>
      <c r="D151" s="148">
        <f>0.8+0.15+0.15</f>
        <v>1.1000000000000001</v>
      </c>
      <c r="E151" s="148">
        <v>0.15</v>
      </c>
      <c r="F151" s="148">
        <v>0.1</v>
      </c>
      <c r="G151" s="148">
        <v>1</v>
      </c>
      <c r="H151" s="148">
        <v>7</v>
      </c>
      <c r="I151" s="207"/>
      <c r="J151" s="170">
        <f t="shared" si="8"/>
        <v>0.11550000000000001</v>
      </c>
      <c r="K151" s="10"/>
      <c r="L151" s="10"/>
      <c r="M151" s="10"/>
      <c r="N151" s="10"/>
      <c r="O151" s="10"/>
      <c r="P151" s="10"/>
      <c r="Q151" s="10"/>
      <c r="R151" s="10"/>
      <c r="S151" s="10"/>
      <c r="T151" s="10"/>
      <c r="U151" s="10"/>
      <c r="V151" s="10"/>
      <c r="W151" s="10"/>
      <c r="X151" s="10"/>
      <c r="Y151" s="10"/>
    </row>
    <row r="152" spans="1:25" s="166" customFormat="1" ht="16.5" customHeight="1" x14ac:dyDescent="0.2">
      <c r="A152" s="358" t="s">
        <v>676</v>
      </c>
      <c r="B152" s="359"/>
      <c r="C152" s="360"/>
      <c r="D152" s="148">
        <f t="shared" si="9"/>
        <v>1</v>
      </c>
      <c r="E152" s="148">
        <v>0.15</v>
      </c>
      <c r="F152" s="148">
        <v>0.1</v>
      </c>
      <c r="G152" s="148">
        <v>3</v>
      </c>
      <c r="H152" s="148">
        <v>7</v>
      </c>
      <c r="I152" s="207"/>
      <c r="J152" s="170">
        <f t="shared" si="8"/>
        <v>0.315</v>
      </c>
      <c r="K152" s="10"/>
      <c r="L152" s="10"/>
      <c r="M152" s="10"/>
      <c r="N152" s="10"/>
      <c r="O152" s="10"/>
      <c r="P152" s="10"/>
      <c r="Q152" s="10"/>
      <c r="R152" s="10"/>
      <c r="S152" s="10"/>
      <c r="T152" s="10"/>
      <c r="U152" s="10"/>
      <c r="V152" s="10"/>
      <c r="W152" s="10"/>
      <c r="X152" s="10"/>
      <c r="Y152" s="10"/>
    </row>
    <row r="153" spans="1:25" s="166" customFormat="1" ht="16.5" customHeight="1" x14ac:dyDescent="0.2">
      <c r="A153" s="361"/>
      <c r="B153" s="362"/>
      <c r="C153" s="363"/>
      <c r="D153" s="148">
        <f>0.8+0.15+0.15</f>
        <v>1.1000000000000001</v>
      </c>
      <c r="E153" s="148">
        <v>0.15</v>
      </c>
      <c r="F153" s="148">
        <v>0.1</v>
      </c>
      <c r="G153" s="148">
        <v>1</v>
      </c>
      <c r="H153" s="148">
        <v>7</v>
      </c>
      <c r="I153" s="207"/>
      <c r="J153" s="170">
        <f t="shared" si="8"/>
        <v>0.11550000000000001</v>
      </c>
      <c r="K153" s="10"/>
      <c r="L153" s="10"/>
      <c r="M153" s="10"/>
      <c r="N153" s="10"/>
      <c r="O153" s="10"/>
      <c r="P153" s="10"/>
      <c r="Q153" s="10"/>
      <c r="R153" s="10"/>
      <c r="S153" s="10"/>
      <c r="T153" s="10"/>
      <c r="U153" s="10"/>
      <c r="V153" s="10"/>
      <c r="W153" s="10"/>
      <c r="X153" s="10"/>
      <c r="Y153" s="10"/>
    </row>
    <row r="154" spans="1:25" s="166" customFormat="1" ht="16.5" customHeight="1" x14ac:dyDescent="0.2">
      <c r="A154" s="358" t="s">
        <v>677</v>
      </c>
      <c r="B154" s="359"/>
      <c r="C154" s="360"/>
      <c r="D154" s="148">
        <f t="shared" si="9"/>
        <v>1</v>
      </c>
      <c r="E154" s="148">
        <v>0.15</v>
      </c>
      <c r="F154" s="148">
        <v>0.1</v>
      </c>
      <c r="G154" s="148">
        <v>3</v>
      </c>
      <c r="H154" s="148">
        <v>7</v>
      </c>
      <c r="I154" s="207"/>
      <c r="J154" s="170">
        <f t="shared" si="8"/>
        <v>0.315</v>
      </c>
      <c r="K154" s="10"/>
      <c r="L154" s="10"/>
      <c r="M154" s="10"/>
      <c r="N154" s="10"/>
      <c r="O154" s="10"/>
      <c r="P154" s="10"/>
      <c r="Q154" s="10"/>
      <c r="R154" s="10"/>
      <c r="S154" s="10"/>
      <c r="T154" s="10"/>
      <c r="U154" s="10"/>
      <c r="V154" s="10"/>
      <c r="W154" s="10"/>
      <c r="X154" s="10"/>
      <c r="Y154" s="10"/>
    </row>
    <row r="155" spans="1:25" s="166" customFormat="1" ht="16.5" customHeight="1" x14ac:dyDescent="0.2">
      <c r="A155" s="361"/>
      <c r="B155" s="362"/>
      <c r="C155" s="363"/>
      <c r="D155" s="148">
        <f>0.8+0.15+0.15</f>
        <v>1.1000000000000001</v>
      </c>
      <c r="E155" s="148">
        <v>0.15</v>
      </c>
      <c r="F155" s="148">
        <v>0.1</v>
      </c>
      <c r="G155" s="148">
        <v>1</v>
      </c>
      <c r="H155" s="148">
        <v>7</v>
      </c>
      <c r="I155" s="207"/>
      <c r="J155" s="170">
        <f t="shared" si="8"/>
        <v>0.11550000000000001</v>
      </c>
      <c r="K155" s="10"/>
      <c r="L155" s="10"/>
      <c r="M155" s="10"/>
      <c r="N155" s="10"/>
      <c r="O155" s="10"/>
      <c r="P155" s="10"/>
      <c r="Q155" s="10"/>
      <c r="R155" s="10"/>
      <c r="S155" s="10"/>
      <c r="T155" s="10"/>
      <c r="U155" s="10"/>
      <c r="V155" s="10"/>
      <c r="W155" s="10"/>
      <c r="X155" s="10"/>
      <c r="Y155" s="10"/>
    </row>
    <row r="156" spans="1:25" s="166" customFormat="1" ht="16.5" customHeight="1" x14ac:dyDescent="0.2">
      <c r="A156" s="358" t="s">
        <v>678</v>
      </c>
      <c r="B156" s="359"/>
      <c r="C156" s="360"/>
      <c r="D156" s="148">
        <f t="shared" si="9"/>
        <v>1</v>
      </c>
      <c r="E156" s="148">
        <v>0.15</v>
      </c>
      <c r="F156" s="148">
        <v>0.1</v>
      </c>
      <c r="G156" s="148">
        <v>3</v>
      </c>
      <c r="H156" s="148">
        <v>7</v>
      </c>
      <c r="I156" s="207"/>
      <c r="J156" s="170">
        <f t="shared" si="8"/>
        <v>0.315</v>
      </c>
      <c r="K156" s="10"/>
      <c r="L156" s="10"/>
      <c r="M156" s="10"/>
      <c r="N156" s="10"/>
      <c r="O156" s="10"/>
      <c r="P156" s="10"/>
      <c r="Q156" s="10"/>
      <c r="R156" s="10"/>
      <c r="S156" s="10"/>
      <c r="T156" s="10"/>
      <c r="U156" s="10"/>
      <c r="V156" s="10"/>
      <c r="W156" s="10"/>
      <c r="X156" s="10"/>
      <c r="Y156" s="10"/>
    </row>
    <row r="157" spans="1:25" s="166" customFormat="1" ht="16.5" customHeight="1" x14ac:dyDescent="0.2">
      <c r="A157" s="361"/>
      <c r="B157" s="362"/>
      <c r="C157" s="363"/>
      <c r="D157" s="148">
        <f>0.8+0.15+0.15</f>
        <v>1.1000000000000001</v>
      </c>
      <c r="E157" s="148">
        <v>0.15</v>
      </c>
      <c r="F157" s="148">
        <v>0.1</v>
      </c>
      <c r="G157" s="148">
        <v>1</v>
      </c>
      <c r="H157" s="148">
        <v>7</v>
      </c>
      <c r="I157" s="207"/>
      <c r="J157" s="170">
        <f t="shared" si="8"/>
        <v>0.11550000000000001</v>
      </c>
      <c r="K157" s="10"/>
      <c r="L157" s="10"/>
      <c r="M157" s="10"/>
      <c r="N157" s="10"/>
      <c r="O157" s="10"/>
      <c r="P157" s="10"/>
      <c r="Q157" s="10"/>
      <c r="R157" s="10"/>
      <c r="S157" s="10"/>
      <c r="T157" s="10"/>
      <c r="U157" s="10"/>
      <c r="V157" s="10"/>
      <c r="W157" s="10"/>
      <c r="X157" s="10"/>
      <c r="Y157" s="10"/>
    </row>
    <row r="158" spans="1:25" s="166" customFormat="1" ht="16.5" customHeight="1" x14ac:dyDescent="0.2">
      <c r="A158" s="358" t="s">
        <v>679</v>
      </c>
      <c r="B158" s="359"/>
      <c r="C158" s="360"/>
      <c r="D158" s="148">
        <f t="shared" si="9"/>
        <v>1</v>
      </c>
      <c r="E158" s="148">
        <v>0.15</v>
      </c>
      <c r="F158" s="148">
        <v>0.1</v>
      </c>
      <c r="G158" s="148">
        <v>3</v>
      </c>
      <c r="H158" s="148">
        <v>7</v>
      </c>
      <c r="I158" s="207"/>
      <c r="J158" s="170">
        <f t="shared" si="8"/>
        <v>0.315</v>
      </c>
      <c r="K158" s="10"/>
      <c r="L158" s="10"/>
      <c r="M158" s="10"/>
      <c r="N158" s="10"/>
      <c r="O158" s="10"/>
      <c r="P158" s="10"/>
      <c r="Q158" s="10"/>
      <c r="R158" s="10"/>
      <c r="S158" s="10"/>
      <c r="T158" s="10"/>
      <c r="U158" s="10"/>
      <c r="V158" s="10"/>
      <c r="W158" s="10"/>
      <c r="X158" s="10"/>
      <c r="Y158" s="10"/>
    </row>
    <row r="159" spans="1:25" s="166" customFormat="1" ht="16.5" customHeight="1" x14ac:dyDescent="0.2">
      <c r="A159" s="361"/>
      <c r="B159" s="362"/>
      <c r="C159" s="363"/>
      <c r="D159" s="148">
        <f>0.8+0.15+0.15</f>
        <v>1.1000000000000001</v>
      </c>
      <c r="E159" s="148">
        <v>0.15</v>
      </c>
      <c r="F159" s="148">
        <v>0.1</v>
      </c>
      <c r="G159" s="148">
        <v>1</v>
      </c>
      <c r="H159" s="148">
        <v>7</v>
      </c>
      <c r="I159" s="207"/>
      <c r="J159" s="170">
        <f t="shared" si="8"/>
        <v>0.11550000000000001</v>
      </c>
      <c r="K159" s="10"/>
      <c r="L159" s="10"/>
      <c r="M159" s="10"/>
      <c r="N159" s="10"/>
      <c r="O159" s="10"/>
      <c r="P159" s="10"/>
      <c r="Q159" s="10"/>
      <c r="R159" s="10"/>
      <c r="S159" s="10"/>
      <c r="T159" s="10"/>
      <c r="U159" s="10"/>
      <c r="V159" s="10"/>
      <c r="W159" s="10"/>
      <c r="X159" s="10"/>
      <c r="Y159" s="10"/>
    </row>
    <row r="160" spans="1:25" s="166" customFormat="1" ht="16.5" customHeight="1" x14ac:dyDescent="0.2">
      <c r="A160" s="358" t="s">
        <v>680</v>
      </c>
      <c r="B160" s="359"/>
      <c r="C160" s="360"/>
      <c r="D160" s="148">
        <f t="shared" si="9"/>
        <v>1</v>
      </c>
      <c r="E160" s="148">
        <v>0.15</v>
      </c>
      <c r="F160" s="148">
        <v>0.1</v>
      </c>
      <c r="G160" s="148">
        <v>3</v>
      </c>
      <c r="H160" s="148">
        <v>7</v>
      </c>
      <c r="I160" s="207"/>
      <c r="J160" s="170">
        <f t="shared" si="8"/>
        <v>0.315</v>
      </c>
      <c r="K160" s="10"/>
      <c r="L160" s="10"/>
      <c r="M160" s="10"/>
      <c r="N160" s="10"/>
      <c r="O160" s="10"/>
      <c r="P160" s="10"/>
      <c r="Q160" s="10"/>
      <c r="R160" s="10"/>
      <c r="S160" s="10"/>
      <c r="T160" s="10"/>
      <c r="U160" s="10"/>
      <c r="V160" s="10"/>
      <c r="W160" s="10"/>
      <c r="X160" s="10"/>
      <c r="Y160" s="10"/>
    </row>
    <row r="161" spans="1:25" s="166" customFormat="1" ht="16.5" customHeight="1" x14ac:dyDescent="0.2">
      <c r="A161" s="361"/>
      <c r="B161" s="362"/>
      <c r="C161" s="363"/>
      <c r="D161" s="148">
        <f>0.8+0.15+0.15</f>
        <v>1.1000000000000001</v>
      </c>
      <c r="E161" s="148">
        <v>0.15</v>
      </c>
      <c r="F161" s="148">
        <v>0.1</v>
      </c>
      <c r="G161" s="148">
        <v>1</v>
      </c>
      <c r="H161" s="148">
        <v>7</v>
      </c>
      <c r="I161" s="207"/>
      <c r="J161" s="170">
        <f t="shared" si="8"/>
        <v>0.11550000000000001</v>
      </c>
      <c r="K161" s="10"/>
      <c r="L161" s="10"/>
      <c r="M161" s="10"/>
      <c r="N161" s="10"/>
      <c r="O161" s="10"/>
      <c r="P161" s="10"/>
      <c r="Q161" s="10"/>
      <c r="R161" s="10"/>
      <c r="S161" s="10"/>
      <c r="T161" s="10"/>
      <c r="U161" s="10"/>
      <c r="V161" s="10"/>
      <c r="W161" s="10"/>
      <c r="X161" s="10"/>
      <c r="Y161" s="10"/>
    </row>
    <row r="162" spans="1:25" s="166" customFormat="1" ht="16.5" customHeight="1" x14ac:dyDescent="0.2">
      <c r="A162" s="358" t="s">
        <v>681</v>
      </c>
      <c r="B162" s="359"/>
      <c r="C162" s="360"/>
      <c r="D162" s="148">
        <f t="shared" si="9"/>
        <v>1</v>
      </c>
      <c r="E162" s="148">
        <v>0.15</v>
      </c>
      <c r="F162" s="148">
        <v>0.1</v>
      </c>
      <c r="G162" s="148">
        <v>3</v>
      </c>
      <c r="H162" s="148">
        <v>7</v>
      </c>
      <c r="I162" s="207"/>
      <c r="J162" s="170">
        <f t="shared" si="8"/>
        <v>0.315</v>
      </c>
      <c r="K162" s="10"/>
      <c r="L162" s="10"/>
      <c r="M162" s="10"/>
      <c r="N162" s="10"/>
      <c r="O162" s="10"/>
      <c r="P162" s="10"/>
      <c r="Q162" s="10"/>
      <c r="R162" s="10"/>
      <c r="S162" s="10"/>
      <c r="T162" s="10"/>
      <c r="U162" s="10"/>
      <c r="V162" s="10"/>
      <c r="W162" s="10"/>
      <c r="X162" s="10"/>
      <c r="Y162" s="10"/>
    </row>
    <row r="163" spans="1:25" s="166" customFormat="1" ht="16.5" customHeight="1" x14ac:dyDescent="0.2">
      <c r="A163" s="361"/>
      <c r="B163" s="362"/>
      <c r="C163" s="363"/>
      <c r="D163" s="148">
        <f>0.8+0.15+0.15</f>
        <v>1.1000000000000001</v>
      </c>
      <c r="E163" s="148">
        <v>0.15</v>
      </c>
      <c r="F163" s="148">
        <v>0.1</v>
      </c>
      <c r="G163" s="148">
        <v>1</v>
      </c>
      <c r="H163" s="148">
        <v>7</v>
      </c>
      <c r="I163" s="207"/>
      <c r="J163" s="170">
        <f t="shared" si="8"/>
        <v>0.11550000000000001</v>
      </c>
      <c r="K163" s="10"/>
      <c r="L163" s="10"/>
      <c r="M163" s="10"/>
      <c r="N163" s="10"/>
      <c r="O163" s="10"/>
      <c r="P163" s="10"/>
      <c r="Q163" s="10"/>
      <c r="R163" s="10"/>
      <c r="S163" s="10"/>
      <c r="T163" s="10"/>
      <c r="U163" s="10"/>
      <c r="V163" s="10"/>
      <c r="W163" s="10"/>
      <c r="X163" s="10"/>
      <c r="Y163" s="10"/>
    </row>
    <row r="164" spans="1:25" s="166" customFormat="1" ht="16.5" customHeight="1" x14ac:dyDescent="0.2">
      <c r="A164" s="358" t="s">
        <v>682</v>
      </c>
      <c r="B164" s="359"/>
      <c r="C164" s="360"/>
      <c r="D164" s="148">
        <f t="shared" si="9"/>
        <v>1</v>
      </c>
      <c r="E164" s="148">
        <v>0.15</v>
      </c>
      <c r="F164" s="148">
        <v>0.1</v>
      </c>
      <c r="G164" s="148">
        <v>3</v>
      </c>
      <c r="H164" s="148">
        <v>7</v>
      </c>
      <c r="I164" s="207"/>
      <c r="J164" s="170">
        <f t="shared" si="8"/>
        <v>0.315</v>
      </c>
      <c r="K164" s="10"/>
      <c r="L164" s="10"/>
      <c r="M164" s="10"/>
      <c r="N164" s="10"/>
      <c r="O164" s="10"/>
      <c r="P164" s="10"/>
      <c r="Q164" s="10"/>
      <c r="R164" s="10"/>
      <c r="S164" s="10"/>
      <c r="T164" s="10"/>
      <c r="U164" s="10"/>
      <c r="V164" s="10"/>
      <c r="W164" s="10"/>
      <c r="X164" s="10"/>
      <c r="Y164" s="10"/>
    </row>
    <row r="165" spans="1:25" s="166" customFormat="1" ht="16.5" customHeight="1" x14ac:dyDescent="0.2">
      <c r="A165" s="361"/>
      <c r="B165" s="362"/>
      <c r="C165" s="363"/>
      <c r="D165" s="148">
        <f>0.8+0.15+0.15</f>
        <v>1.1000000000000001</v>
      </c>
      <c r="E165" s="148">
        <v>0.15</v>
      </c>
      <c r="F165" s="148">
        <v>0.1</v>
      </c>
      <c r="G165" s="148">
        <v>1</v>
      </c>
      <c r="H165" s="148">
        <v>7</v>
      </c>
      <c r="I165" s="207"/>
      <c r="J165" s="170">
        <f t="shared" si="8"/>
        <v>0.11550000000000001</v>
      </c>
      <c r="K165" s="10"/>
      <c r="L165" s="10"/>
      <c r="M165" s="10"/>
      <c r="N165" s="10"/>
      <c r="O165" s="10"/>
      <c r="P165" s="10"/>
      <c r="Q165" s="10"/>
      <c r="R165" s="10"/>
      <c r="S165" s="10"/>
      <c r="T165" s="10"/>
      <c r="U165" s="10"/>
      <c r="V165" s="10"/>
      <c r="W165" s="10"/>
      <c r="X165" s="10"/>
      <c r="Y165" s="10"/>
    </row>
    <row r="166" spans="1:25" s="166" customFormat="1" ht="16.5" customHeight="1" x14ac:dyDescent="0.2">
      <c r="A166" s="358" t="s">
        <v>683</v>
      </c>
      <c r="B166" s="359"/>
      <c r="C166" s="360"/>
      <c r="D166" s="148">
        <f t="shared" si="9"/>
        <v>1</v>
      </c>
      <c r="E166" s="148">
        <v>0.15</v>
      </c>
      <c r="F166" s="148">
        <v>0.1</v>
      </c>
      <c r="G166" s="148">
        <v>3</v>
      </c>
      <c r="H166" s="148">
        <v>7</v>
      </c>
      <c r="I166" s="207"/>
      <c r="J166" s="170">
        <f t="shared" si="8"/>
        <v>0.315</v>
      </c>
      <c r="K166" s="10"/>
      <c r="L166" s="10"/>
      <c r="M166" s="10"/>
      <c r="N166" s="10"/>
      <c r="O166" s="10"/>
      <c r="P166" s="10"/>
      <c r="Q166" s="10"/>
      <c r="R166" s="10"/>
      <c r="S166" s="10"/>
      <c r="T166" s="10"/>
      <c r="U166" s="10"/>
      <c r="V166" s="10"/>
      <c r="W166" s="10"/>
      <c r="X166" s="10"/>
      <c r="Y166" s="10"/>
    </row>
    <row r="167" spans="1:25" s="166" customFormat="1" ht="16.5" customHeight="1" x14ac:dyDescent="0.2">
      <c r="A167" s="361"/>
      <c r="B167" s="362"/>
      <c r="C167" s="363"/>
      <c r="D167" s="148">
        <f>0.8+0.15+0.15</f>
        <v>1.1000000000000001</v>
      </c>
      <c r="E167" s="148">
        <v>0.15</v>
      </c>
      <c r="F167" s="148">
        <v>0.1</v>
      </c>
      <c r="G167" s="148">
        <v>1</v>
      </c>
      <c r="H167" s="148">
        <v>7</v>
      </c>
      <c r="I167" s="207"/>
      <c r="J167" s="170">
        <f t="shared" si="8"/>
        <v>0.11550000000000001</v>
      </c>
      <c r="K167" s="10"/>
      <c r="L167" s="10"/>
      <c r="M167" s="10"/>
      <c r="N167" s="10"/>
      <c r="O167" s="10"/>
      <c r="P167" s="10"/>
      <c r="Q167" s="10"/>
      <c r="R167" s="10"/>
      <c r="S167" s="10"/>
      <c r="T167" s="10"/>
      <c r="U167" s="10"/>
      <c r="V167" s="10"/>
      <c r="W167" s="10"/>
      <c r="X167" s="10"/>
      <c r="Y167" s="10"/>
    </row>
    <row r="168" spans="1:25" s="166" customFormat="1" ht="16.5" customHeight="1" x14ac:dyDescent="0.2">
      <c r="A168" s="358" t="s">
        <v>684</v>
      </c>
      <c r="B168" s="359"/>
      <c r="C168" s="360"/>
      <c r="D168" s="148">
        <f t="shared" si="9"/>
        <v>1</v>
      </c>
      <c r="E168" s="148">
        <v>0.15</v>
      </c>
      <c r="F168" s="148">
        <v>0.1</v>
      </c>
      <c r="G168" s="148">
        <v>3</v>
      </c>
      <c r="H168" s="148">
        <v>7</v>
      </c>
      <c r="I168" s="207"/>
      <c r="J168" s="170">
        <f t="shared" si="8"/>
        <v>0.315</v>
      </c>
      <c r="K168" s="10"/>
      <c r="L168" s="10"/>
      <c r="M168" s="10"/>
      <c r="N168" s="10"/>
      <c r="O168" s="10"/>
      <c r="P168" s="10"/>
      <c r="Q168" s="10"/>
      <c r="R168" s="10"/>
      <c r="S168" s="10"/>
      <c r="T168" s="10"/>
      <c r="U168" s="10"/>
      <c r="V168" s="10"/>
      <c r="W168" s="10"/>
      <c r="X168" s="10"/>
      <c r="Y168" s="10"/>
    </row>
    <row r="169" spans="1:25" s="166" customFormat="1" ht="16.5" customHeight="1" x14ac:dyDescent="0.2">
      <c r="A169" s="361"/>
      <c r="B169" s="362"/>
      <c r="C169" s="363"/>
      <c r="D169" s="148">
        <f>0.8+0.15+0.15</f>
        <v>1.1000000000000001</v>
      </c>
      <c r="E169" s="148">
        <v>0.15</v>
      </c>
      <c r="F169" s="148">
        <v>0.1</v>
      </c>
      <c r="G169" s="148">
        <v>1</v>
      </c>
      <c r="H169" s="148">
        <v>7</v>
      </c>
      <c r="I169" s="207"/>
      <c r="J169" s="170">
        <f t="shared" si="8"/>
        <v>0.11550000000000001</v>
      </c>
      <c r="K169" s="10"/>
      <c r="L169" s="10"/>
      <c r="M169" s="10"/>
      <c r="N169" s="10"/>
      <c r="O169" s="10"/>
      <c r="P169" s="10"/>
      <c r="Q169" s="10"/>
      <c r="R169" s="10"/>
      <c r="S169" s="10"/>
      <c r="T169" s="10"/>
      <c r="U169" s="10"/>
      <c r="V169" s="10"/>
      <c r="W169" s="10"/>
      <c r="X169" s="10"/>
      <c r="Y169" s="10"/>
    </row>
    <row r="170" spans="1:25" s="166" customFormat="1" ht="16.5" customHeight="1" x14ac:dyDescent="0.2">
      <c r="A170" s="358" t="s">
        <v>685</v>
      </c>
      <c r="B170" s="359"/>
      <c r="C170" s="360"/>
      <c r="D170" s="148">
        <f t="shared" si="9"/>
        <v>1</v>
      </c>
      <c r="E170" s="148">
        <v>0.15</v>
      </c>
      <c r="F170" s="148">
        <v>0.1</v>
      </c>
      <c r="G170" s="148">
        <v>3</v>
      </c>
      <c r="H170" s="148">
        <v>7</v>
      </c>
      <c r="I170" s="207"/>
      <c r="J170" s="170">
        <f t="shared" si="8"/>
        <v>0.315</v>
      </c>
      <c r="K170" s="10"/>
      <c r="L170" s="10"/>
      <c r="M170" s="10"/>
      <c r="N170" s="10"/>
      <c r="O170" s="10"/>
      <c r="P170" s="10"/>
      <c r="Q170" s="10"/>
      <c r="R170" s="10"/>
      <c r="S170" s="10"/>
      <c r="T170" s="10"/>
      <c r="U170" s="10"/>
      <c r="V170" s="10"/>
      <c r="W170" s="10"/>
      <c r="X170" s="10"/>
      <c r="Y170" s="10"/>
    </row>
    <row r="171" spans="1:25" s="166" customFormat="1" ht="16.5" customHeight="1" x14ac:dyDescent="0.2">
      <c r="A171" s="361"/>
      <c r="B171" s="362"/>
      <c r="C171" s="363"/>
      <c r="D171" s="148">
        <f>0.8+0.15+0.15</f>
        <v>1.1000000000000001</v>
      </c>
      <c r="E171" s="148">
        <v>0.15</v>
      </c>
      <c r="F171" s="148">
        <v>0.1</v>
      </c>
      <c r="G171" s="148">
        <v>1</v>
      </c>
      <c r="H171" s="148">
        <v>7</v>
      </c>
      <c r="I171" s="207"/>
      <c r="J171" s="170">
        <f t="shared" si="8"/>
        <v>0.11550000000000001</v>
      </c>
      <c r="K171" s="10"/>
      <c r="L171" s="10"/>
      <c r="M171" s="10"/>
      <c r="N171" s="10"/>
      <c r="O171" s="10"/>
      <c r="P171" s="10"/>
      <c r="Q171" s="10"/>
      <c r="R171" s="10"/>
      <c r="S171" s="10"/>
      <c r="T171" s="10"/>
      <c r="U171" s="10"/>
      <c r="V171" s="10"/>
      <c r="W171" s="10"/>
      <c r="X171" s="10"/>
      <c r="Y171" s="10"/>
    </row>
    <row r="172" spans="1:25" s="166" customFormat="1" ht="16.5" customHeight="1" x14ac:dyDescent="0.2">
      <c r="A172" s="358" t="s">
        <v>686</v>
      </c>
      <c r="B172" s="359"/>
      <c r="C172" s="360"/>
      <c r="D172" s="148">
        <f t="shared" si="9"/>
        <v>1</v>
      </c>
      <c r="E172" s="148">
        <v>0.15</v>
      </c>
      <c r="F172" s="148">
        <v>0.1</v>
      </c>
      <c r="G172" s="148">
        <v>3</v>
      </c>
      <c r="H172" s="148">
        <v>7</v>
      </c>
      <c r="I172" s="207"/>
      <c r="J172" s="170">
        <f t="shared" si="8"/>
        <v>0.315</v>
      </c>
      <c r="K172" s="10"/>
      <c r="L172" s="10"/>
      <c r="M172" s="10"/>
      <c r="N172" s="10"/>
      <c r="O172" s="10"/>
      <c r="P172" s="10"/>
      <c r="Q172" s="10"/>
      <c r="R172" s="10"/>
      <c r="S172" s="10"/>
      <c r="T172" s="10"/>
      <c r="U172" s="10"/>
      <c r="V172" s="10"/>
      <c r="W172" s="10"/>
      <c r="X172" s="10"/>
      <c r="Y172" s="10"/>
    </row>
    <row r="173" spans="1:25" s="166" customFormat="1" ht="16.5" customHeight="1" x14ac:dyDescent="0.2">
      <c r="A173" s="361"/>
      <c r="B173" s="362"/>
      <c r="C173" s="363"/>
      <c r="D173" s="148">
        <f>0.8+0.15+0.15</f>
        <v>1.1000000000000001</v>
      </c>
      <c r="E173" s="148">
        <v>0.15</v>
      </c>
      <c r="F173" s="148">
        <v>0.1</v>
      </c>
      <c r="G173" s="148">
        <v>1</v>
      </c>
      <c r="H173" s="148">
        <v>7</v>
      </c>
      <c r="I173" s="207"/>
      <c r="J173" s="170">
        <f t="shared" si="8"/>
        <v>0.11550000000000001</v>
      </c>
      <c r="K173" s="10"/>
      <c r="L173" s="10"/>
      <c r="M173" s="10"/>
      <c r="N173" s="10"/>
      <c r="O173" s="10"/>
      <c r="P173" s="10"/>
      <c r="Q173" s="10"/>
      <c r="R173" s="10"/>
      <c r="S173" s="10"/>
      <c r="T173" s="10"/>
      <c r="U173" s="10"/>
      <c r="V173" s="10"/>
      <c r="W173" s="10"/>
      <c r="X173" s="10"/>
      <c r="Y173" s="10"/>
    </row>
    <row r="174" spans="1:25" s="166" customFormat="1" ht="16.5" customHeight="1" x14ac:dyDescent="0.2">
      <c r="A174" s="339" t="s">
        <v>308</v>
      </c>
      <c r="B174" s="340"/>
      <c r="C174" s="341"/>
      <c r="D174" s="148">
        <f>1.1+0.2+0.2</f>
        <v>1.5</v>
      </c>
      <c r="E174" s="148">
        <v>0.15</v>
      </c>
      <c r="F174" s="148">
        <v>0.1</v>
      </c>
      <c r="G174" s="148">
        <v>1</v>
      </c>
      <c r="H174" s="148">
        <v>7</v>
      </c>
      <c r="I174" s="148"/>
      <c r="J174" s="170">
        <f t="shared" si="8"/>
        <v>0.1575</v>
      </c>
      <c r="K174" s="10"/>
      <c r="L174" s="10"/>
      <c r="M174" s="10"/>
      <c r="N174" s="10"/>
      <c r="O174" s="10"/>
      <c r="P174" s="10"/>
      <c r="Q174" s="10"/>
      <c r="R174" s="10"/>
      <c r="S174" s="10"/>
      <c r="T174" s="10"/>
      <c r="U174" s="10"/>
      <c r="V174" s="10"/>
      <c r="W174" s="10"/>
      <c r="X174" s="10"/>
      <c r="Y174" s="10"/>
    </row>
    <row r="175" spans="1:25" s="166" customFormat="1" ht="16.5" customHeight="1" x14ac:dyDescent="0.2">
      <c r="A175" s="336" t="s">
        <v>886</v>
      </c>
      <c r="B175" s="337"/>
      <c r="C175" s="337"/>
      <c r="D175" s="337"/>
      <c r="E175" s="337"/>
      <c r="F175" s="337"/>
      <c r="G175" s="337"/>
      <c r="H175" s="337"/>
      <c r="I175" s="337"/>
      <c r="J175" s="338"/>
      <c r="K175" s="10"/>
      <c r="L175" s="10"/>
      <c r="M175" s="10"/>
      <c r="N175" s="10"/>
      <c r="O175" s="10"/>
      <c r="P175" s="10"/>
      <c r="Q175" s="10"/>
      <c r="R175" s="10"/>
      <c r="S175" s="10"/>
      <c r="T175" s="10"/>
      <c r="U175" s="10"/>
      <c r="V175" s="10"/>
      <c r="W175" s="10"/>
      <c r="X175" s="10"/>
      <c r="Y175" s="10"/>
    </row>
    <row r="176" spans="1:25" s="166" customFormat="1" ht="16.5" customHeight="1" x14ac:dyDescent="0.2">
      <c r="A176" s="321" t="s">
        <v>887</v>
      </c>
      <c r="B176" s="322"/>
      <c r="C176" s="323"/>
      <c r="D176" s="148">
        <f>0.8+0.15+0.15</f>
        <v>1.1000000000000001</v>
      </c>
      <c r="E176" s="148">
        <v>0.15</v>
      </c>
      <c r="F176" s="148">
        <v>0.1</v>
      </c>
      <c r="G176" s="148">
        <v>3</v>
      </c>
      <c r="H176" s="148">
        <v>7</v>
      </c>
      <c r="I176" s="207"/>
      <c r="J176" s="170">
        <f t="shared" si="8"/>
        <v>0.34650000000000003</v>
      </c>
      <c r="K176" s="10"/>
      <c r="L176" s="10"/>
      <c r="M176" s="10"/>
      <c r="N176" s="10"/>
      <c r="O176" s="10"/>
      <c r="P176" s="10"/>
      <c r="Q176" s="10"/>
      <c r="R176" s="10"/>
      <c r="S176" s="10"/>
      <c r="T176" s="10"/>
      <c r="U176" s="10"/>
      <c r="V176" s="10"/>
      <c r="W176" s="10"/>
      <c r="X176" s="10"/>
      <c r="Y176" s="10"/>
    </row>
    <row r="177" spans="1:25" s="166" customFormat="1" ht="16.5" customHeight="1" x14ac:dyDescent="0.2">
      <c r="A177" s="329"/>
      <c r="B177" s="357"/>
      <c r="C177" s="330"/>
      <c r="D177" s="148">
        <f>0.6+0.15+0.15</f>
        <v>0.9</v>
      </c>
      <c r="E177" s="148">
        <v>0.15</v>
      </c>
      <c r="F177" s="148">
        <v>0.1</v>
      </c>
      <c r="G177" s="148">
        <v>8</v>
      </c>
      <c r="H177" s="148">
        <v>7</v>
      </c>
      <c r="I177" s="207"/>
      <c r="J177" s="170">
        <f t="shared" si="8"/>
        <v>0.75600000000000012</v>
      </c>
      <c r="K177" s="10"/>
      <c r="L177" s="10"/>
      <c r="M177" s="10"/>
      <c r="N177" s="10"/>
      <c r="O177" s="10"/>
      <c r="P177" s="10"/>
      <c r="Q177" s="10"/>
      <c r="R177" s="10"/>
      <c r="S177" s="10"/>
      <c r="T177" s="10"/>
      <c r="U177" s="10"/>
      <c r="V177" s="10"/>
      <c r="W177" s="10"/>
      <c r="X177" s="10"/>
      <c r="Y177" s="10"/>
    </row>
    <row r="178" spans="1:25" s="166" customFormat="1" ht="16.5" customHeight="1" x14ac:dyDescent="0.2">
      <c r="A178" s="342" t="str">
        <f>"TOTAL - "&amp;'Planilha orçamentária'!F37</f>
        <v>TOTAL - M3</v>
      </c>
      <c r="B178" s="342"/>
      <c r="C178" s="342"/>
      <c r="D178" s="342"/>
      <c r="E178" s="342"/>
      <c r="F178" s="342"/>
      <c r="G178" s="342"/>
      <c r="H178" s="342"/>
      <c r="I178" s="342"/>
      <c r="J178" s="149">
        <f>SUM(J143:J177)</f>
        <v>8.1795000000000009</v>
      </c>
      <c r="K178" s="10"/>
      <c r="L178" s="10"/>
      <c r="M178" s="10"/>
      <c r="N178" s="10"/>
      <c r="O178" s="10"/>
      <c r="P178" s="10"/>
      <c r="Q178" s="10"/>
      <c r="R178" s="10"/>
      <c r="S178" s="10"/>
      <c r="T178" s="10"/>
      <c r="U178" s="10"/>
      <c r="V178" s="10"/>
      <c r="W178" s="10"/>
      <c r="X178" s="10"/>
      <c r="Y178" s="10"/>
    </row>
    <row r="179" spans="1:25" s="166" customFormat="1" ht="16.5" customHeight="1" x14ac:dyDescent="0.2">
      <c r="A179" s="184" t="str">
        <f>'Planilha orçamentária'!A38</f>
        <v>6.8</v>
      </c>
      <c r="B179" s="343" t="str">
        <f>'Planilha orçamentária'!D38</f>
        <v>Contraverga em concreto estrutural para vãos de até 150cm, preparado em obra com betoneira, controle "a", com fck 20 MPa, moldada in loco, inclusive armação</v>
      </c>
      <c r="C179" s="344"/>
      <c r="D179" s="344"/>
      <c r="E179" s="344"/>
      <c r="F179" s="344"/>
      <c r="G179" s="344"/>
      <c r="H179" s="344"/>
      <c r="I179" s="344"/>
      <c r="J179" s="344"/>
      <c r="K179" s="10"/>
      <c r="L179" s="10"/>
      <c r="M179" s="10"/>
      <c r="N179" s="10"/>
      <c r="O179" s="10"/>
      <c r="P179" s="10"/>
      <c r="Q179" s="10"/>
      <c r="R179" s="10"/>
      <c r="S179" s="10"/>
      <c r="T179" s="10"/>
      <c r="U179" s="10"/>
      <c r="V179" s="10"/>
      <c r="W179" s="10"/>
      <c r="X179" s="10"/>
      <c r="Y179" s="10"/>
    </row>
    <row r="180" spans="1:25" s="166" customFormat="1" ht="25.5" customHeight="1" x14ac:dyDescent="0.2">
      <c r="A180" s="327" t="s">
        <v>120</v>
      </c>
      <c r="B180" s="328"/>
      <c r="C180" s="328"/>
      <c r="D180" s="208" t="s">
        <v>121</v>
      </c>
      <c r="E180" s="208" t="s">
        <v>122</v>
      </c>
      <c r="F180" s="208" t="s">
        <v>123</v>
      </c>
      <c r="G180" s="209" t="s">
        <v>468</v>
      </c>
      <c r="H180" s="209" t="s">
        <v>489</v>
      </c>
      <c r="I180" s="208" t="s">
        <v>126</v>
      </c>
      <c r="J180" s="208" t="s">
        <v>113</v>
      </c>
      <c r="K180" s="10"/>
      <c r="L180" s="10"/>
      <c r="M180" s="10"/>
      <c r="N180" s="10"/>
      <c r="O180" s="10"/>
      <c r="P180" s="10"/>
      <c r="Q180" s="10"/>
      <c r="R180" s="10"/>
      <c r="S180" s="10"/>
      <c r="T180" s="10"/>
      <c r="U180" s="10"/>
      <c r="V180" s="10"/>
      <c r="W180" s="10"/>
      <c r="X180" s="10"/>
      <c r="Y180" s="10"/>
    </row>
    <row r="181" spans="1:25" s="166" customFormat="1" ht="16.5" customHeight="1" x14ac:dyDescent="0.2">
      <c r="A181" s="336" t="s">
        <v>886</v>
      </c>
      <c r="B181" s="337"/>
      <c r="C181" s="337"/>
      <c r="D181" s="337"/>
      <c r="E181" s="337"/>
      <c r="F181" s="337"/>
      <c r="G181" s="337"/>
      <c r="H181" s="337"/>
      <c r="I181" s="337"/>
      <c r="J181" s="338"/>
      <c r="K181" s="10"/>
      <c r="L181" s="10"/>
      <c r="M181" s="10"/>
      <c r="N181" s="10"/>
      <c r="O181" s="10"/>
      <c r="P181" s="10"/>
      <c r="Q181" s="10"/>
      <c r="R181" s="10"/>
      <c r="S181" s="10"/>
      <c r="T181" s="10"/>
      <c r="U181" s="10"/>
      <c r="V181" s="10"/>
      <c r="W181" s="10"/>
      <c r="X181" s="10"/>
      <c r="Y181" s="10"/>
    </row>
    <row r="182" spans="1:25" s="166" customFormat="1" ht="16.5" customHeight="1" x14ac:dyDescent="0.2">
      <c r="A182" s="321" t="s">
        <v>807</v>
      </c>
      <c r="B182" s="322"/>
      <c r="C182" s="323"/>
      <c r="D182" s="148">
        <f>0.8+0.15+0.15</f>
        <v>1.1000000000000001</v>
      </c>
      <c r="E182" s="148">
        <v>0.15</v>
      </c>
      <c r="F182" s="148">
        <v>0.1</v>
      </c>
      <c r="G182" s="148">
        <v>3</v>
      </c>
      <c r="H182" s="148">
        <v>7</v>
      </c>
      <c r="I182" s="207"/>
      <c r="J182" s="170">
        <f>PRODUCT(D182:H182)-I182</f>
        <v>0.34650000000000003</v>
      </c>
      <c r="K182" s="10"/>
      <c r="L182" s="10"/>
      <c r="M182" s="10"/>
      <c r="N182" s="10"/>
      <c r="O182" s="10"/>
      <c r="P182" s="10"/>
      <c r="Q182" s="10"/>
      <c r="R182" s="10"/>
      <c r="S182" s="10"/>
      <c r="T182" s="10"/>
      <c r="U182" s="10"/>
      <c r="V182" s="10"/>
      <c r="W182" s="10"/>
      <c r="X182" s="10"/>
      <c r="Y182" s="10"/>
    </row>
    <row r="183" spans="1:25" s="166" customFormat="1" ht="16.5" customHeight="1" x14ac:dyDescent="0.2">
      <c r="A183" s="329"/>
      <c r="B183" s="357"/>
      <c r="C183" s="330"/>
      <c r="D183" s="148">
        <f>0.6+0.15+0.15</f>
        <v>0.9</v>
      </c>
      <c r="E183" s="148">
        <v>0.15</v>
      </c>
      <c r="F183" s="148">
        <v>0.1</v>
      </c>
      <c r="G183" s="148">
        <v>8</v>
      </c>
      <c r="H183" s="148">
        <v>7</v>
      </c>
      <c r="I183" s="207"/>
      <c r="J183" s="170">
        <f>PRODUCT(D183:H183)-I183</f>
        <v>0.75600000000000012</v>
      </c>
      <c r="K183" s="10"/>
      <c r="L183" s="10"/>
      <c r="M183" s="10"/>
      <c r="N183" s="10"/>
      <c r="O183" s="10"/>
      <c r="P183" s="10"/>
      <c r="Q183" s="10"/>
      <c r="R183" s="10"/>
      <c r="S183" s="10"/>
      <c r="T183" s="10"/>
      <c r="U183" s="10"/>
      <c r="V183" s="10"/>
      <c r="W183" s="10"/>
      <c r="X183" s="10"/>
      <c r="Y183" s="10"/>
    </row>
    <row r="184" spans="1:25" s="166" customFormat="1" ht="16.5" customHeight="1" x14ac:dyDescent="0.2">
      <c r="A184" s="342" t="str">
        <f>"TOTAL - "&amp;'Planilha orçamentária'!F38</f>
        <v>TOTAL - M3</v>
      </c>
      <c r="B184" s="342"/>
      <c r="C184" s="342"/>
      <c r="D184" s="342"/>
      <c r="E184" s="342"/>
      <c r="F184" s="342"/>
      <c r="G184" s="342"/>
      <c r="H184" s="342"/>
      <c r="I184" s="342"/>
      <c r="J184" s="149">
        <f>SUM(J182:J183)</f>
        <v>1.1025</v>
      </c>
      <c r="K184" s="10"/>
      <c r="L184" s="10"/>
      <c r="M184" s="10"/>
      <c r="N184" s="10"/>
      <c r="O184" s="10"/>
      <c r="P184" s="10"/>
      <c r="Q184" s="10"/>
      <c r="R184" s="10"/>
      <c r="S184" s="10"/>
      <c r="T184" s="10"/>
      <c r="U184" s="10"/>
      <c r="V184" s="10"/>
      <c r="W184" s="10"/>
      <c r="X184" s="10"/>
      <c r="Y184" s="10"/>
    </row>
    <row r="185" spans="1:25" s="166" customFormat="1" ht="16.5" customHeight="1" x14ac:dyDescent="0.2">
      <c r="A185" s="184" t="str">
        <f>'Planilha orçamentária'!A39</f>
        <v>6.9</v>
      </c>
      <c r="B185" s="343" t="str">
        <f>'Planilha orçamentária'!D39</f>
        <v>Verga em concreto estrutural para vãos acima de 150cm, preparado em obra com betoneira, controle "a", com fck 20 MPa, moldada in loco, inclusive armação</v>
      </c>
      <c r="C185" s="344"/>
      <c r="D185" s="344"/>
      <c r="E185" s="344"/>
      <c r="F185" s="344"/>
      <c r="G185" s="344"/>
      <c r="H185" s="344"/>
      <c r="I185" s="344"/>
      <c r="J185" s="344"/>
      <c r="K185" s="10"/>
      <c r="L185" s="10"/>
      <c r="M185" s="10"/>
      <c r="N185" s="10"/>
      <c r="O185" s="10"/>
      <c r="P185" s="10"/>
      <c r="Q185" s="10"/>
      <c r="R185" s="10"/>
      <c r="S185" s="10"/>
      <c r="T185" s="10"/>
      <c r="U185" s="10"/>
      <c r="V185" s="10"/>
      <c r="W185" s="10"/>
      <c r="X185" s="10"/>
      <c r="Y185" s="10"/>
    </row>
    <row r="186" spans="1:25" s="166" customFormat="1" ht="25.5" customHeight="1" x14ac:dyDescent="0.2">
      <c r="A186" s="327" t="s">
        <v>120</v>
      </c>
      <c r="B186" s="328"/>
      <c r="C186" s="328"/>
      <c r="D186" s="208" t="s">
        <v>121</v>
      </c>
      <c r="E186" s="208" t="s">
        <v>122</v>
      </c>
      <c r="F186" s="208" t="s">
        <v>123</v>
      </c>
      <c r="G186" s="209" t="s">
        <v>468</v>
      </c>
      <c r="H186" s="209" t="s">
        <v>489</v>
      </c>
      <c r="I186" s="208" t="s">
        <v>126</v>
      </c>
      <c r="J186" s="208" t="s">
        <v>113</v>
      </c>
      <c r="K186" s="10"/>
      <c r="L186" s="10"/>
      <c r="M186" s="10"/>
      <c r="N186" s="10"/>
      <c r="O186" s="10"/>
      <c r="P186" s="10"/>
      <c r="Q186" s="10"/>
      <c r="R186" s="10"/>
      <c r="S186" s="10"/>
      <c r="T186" s="10"/>
      <c r="U186" s="10"/>
      <c r="V186" s="10"/>
      <c r="W186" s="10"/>
      <c r="X186" s="10"/>
      <c r="Y186" s="10"/>
    </row>
    <row r="187" spans="1:25" s="166" customFormat="1" ht="16.5" customHeight="1" x14ac:dyDescent="0.2">
      <c r="A187" s="336" t="s">
        <v>886</v>
      </c>
      <c r="B187" s="337"/>
      <c r="C187" s="337"/>
      <c r="D187" s="337"/>
      <c r="E187" s="337"/>
      <c r="F187" s="337"/>
      <c r="G187" s="337"/>
      <c r="H187" s="337"/>
      <c r="I187" s="337"/>
      <c r="J187" s="338"/>
      <c r="K187" s="10"/>
      <c r="L187" s="10"/>
      <c r="M187" s="10"/>
      <c r="N187" s="10"/>
      <c r="O187" s="10"/>
      <c r="P187" s="10"/>
      <c r="Q187" s="10"/>
      <c r="R187" s="10"/>
      <c r="S187" s="10"/>
      <c r="T187" s="10"/>
      <c r="U187" s="10"/>
      <c r="V187" s="10"/>
      <c r="W187" s="10"/>
      <c r="X187" s="10"/>
      <c r="Y187" s="10"/>
    </row>
    <row r="188" spans="1:25" s="166" customFormat="1" ht="16.5" customHeight="1" x14ac:dyDescent="0.2">
      <c r="A188" s="358" t="s">
        <v>671</v>
      </c>
      <c r="B188" s="359"/>
      <c r="C188" s="360"/>
      <c r="D188" s="148">
        <f>1.2+0.2+0.2</f>
        <v>1.5999999999999999</v>
      </c>
      <c r="E188" s="148">
        <v>0.15</v>
      </c>
      <c r="F188" s="148">
        <v>0.1</v>
      </c>
      <c r="G188" s="148">
        <v>4</v>
      </c>
      <c r="H188" s="148">
        <v>7</v>
      </c>
      <c r="I188" s="207"/>
      <c r="J188" s="170">
        <f t="shared" ref="J188:J219" si="10">PRODUCT(D188:H188)-I188</f>
        <v>0.67199999999999993</v>
      </c>
      <c r="K188" s="10"/>
      <c r="L188" s="10"/>
      <c r="M188" s="10"/>
      <c r="N188" s="10"/>
      <c r="O188" s="10"/>
      <c r="P188" s="10"/>
      <c r="Q188" s="10"/>
      <c r="R188" s="10"/>
      <c r="S188" s="10"/>
      <c r="T188" s="10"/>
      <c r="U188" s="10"/>
      <c r="V188" s="10"/>
      <c r="W188" s="10"/>
      <c r="X188" s="10"/>
      <c r="Y188" s="10"/>
    </row>
    <row r="189" spans="1:25" s="166" customFormat="1" ht="16.5" customHeight="1" x14ac:dyDescent="0.2">
      <c r="A189" s="361"/>
      <c r="B189" s="362"/>
      <c r="C189" s="363"/>
      <c r="D189" s="148">
        <f>1.8+0.2+0.2</f>
        <v>2.2000000000000002</v>
      </c>
      <c r="E189" s="148">
        <v>0.15</v>
      </c>
      <c r="F189" s="148">
        <v>0.1</v>
      </c>
      <c r="G189" s="148">
        <v>1</v>
      </c>
      <c r="H189" s="148">
        <v>7</v>
      </c>
      <c r="I189" s="207"/>
      <c r="J189" s="170">
        <f t="shared" si="10"/>
        <v>0.23100000000000001</v>
      </c>
      <c r="K189" s="10"/>
      <c r="L189" s="10"/>
      <c r="M189" s="10"/>
      <c r="N189" s="10"/>
      <c r="O189" s="10"/>
      <c r="P189" s="10"/>
      <c r="Q189" s="10"/>
      <c r="R189" s="10"/>
      <c r="S189" s="10"/>
      <c r="T189" s="10"/>
      <c r="U189" s="10"/>
      <c r="V189" s="10"/>
      <c r="W189" s="10"/>
      <c r="X189" s="10"/>
      <c r="Y189" s="10"/>
    </row>
    <row r="190" spans="1:25" s="166" customFormat="1" ht="16.5" customHeight="1" x14ac:dyDescent="0.2">
      <c r="A190" s="358" t="s">
        <v>672</v>
      </c>
      <c r="B190" s="359"/>
      <c r="C190" s="360"/>
      <c r="D190" s="148">
        <f>1.2+0.2+0.2</f>
        <v>1.5999999999999999</v>
      </c>
      <c r="E190" s="148">
        <v>0.15</v>
      </c>
      <c r="F190" s="148">
        <v>0.1</v>
      </c>
      <c r="G190" s="148">
        <v>4</v>
      </c>
      <c r="H190" s="148">
        <v>7</v>
      </c>
      <c r="I190" s="207"/>
      <c r="J190" s="170">
        <f t="shared" si="10"/>
        <v>0.67199999999999993</v>
      </c>
      <c r="K190" s="10"/>
      <c r="L190" s="10"/>
      <c r="M190" s="10"/>
      <c r="N190" s="10"/>
      <c r="O190" s="10"/>
      <c r="P190" s="10"/>
      <c r="Q190" s="10"/>
      <c r="R190" s="10"/>
      <c r="S190" s="10"/>
      <c r="T190" s="10"/>
      <c r="U190" s="10"/>
      <c r="V190" s="10"/>
      <c r="W190" s="10"/>
      <c r="X190" s="10"/>
      <c r="Y190" s="10"/>
    </row>
    <row r="191" spans="1:25" s="166" customFormat="1" ht="16.5" customHeight="1" x14ac:dyDescent="0.2">
      <c r="A191" s="361"/>
      <c r="B191" s="362"/>
      <c r="C191" s="363"/>
      <c r="D191" s="148">
        <f>1.8+0.2+0.2</f>
        <v>2.2000000000000002</v>
      </c>
      <c r="E191" s="148">
        <v>0.15</v>
      </c>
      <c r="F191" s="148">
        <v>0.1</v>
      </c>
      <c r="G191" s="148">
        <v>1</v>
      </c>
      <c r="H191" s="148">
        <v>7</v>
      </c>
      <c r="I191" s="207"/>
      <c r="J191" s="170">
        <f t="shared" si="10"/>
        <v>0.23100000000000001</v>
      </c>
      <c r="K191" s="10"/>
      <c r="L191" s="10"/>
      <c r="M191" s="10"/>
      <c r="N191" s="10"/>
      <c r="O191" s="10"/>
      <c r="P191" s="10"/>
      <c r="Q191" s="10"/>
      <c r="R191" s="10"/>
      <c r="S191" s="10"/>
      <c r="T191" s="10"/>
      <c r="U191" s="10"/>
      <c r="V191" s="10"/>
      <c r="W191" s="10"/>
      <c r="X191" s="10"/>
      <c r="Y191" s="10"/>
    </row>
    <row r="192" spans="1:25" s="166" customFormat="1" ht="16.5" customHeight="1" x14ac:dyDescent="0.2">
      <c r="A192" s="358" t="s">
        <v>673</v>
      </c>
      <c r="B192" s="359"/>
      <c r="C192" s="360"/>
      <c r="D192" s="148">
        <f>1.2+0.2+0.2</f>
        <v>1.5999999999999999</v>
      </c>
      <c r="E192" s="148">
        <v>0.15</v>
      </c>
      <c r="F192" s="148">
        <v>0.1</v>
      </c>
      <c r="G192" s="148">
        <v>4</v>
      </c>
      <c r="H192" s="148">
        <v>7</v>
      </c>
      <c r="I192" s="207"/>
      <c r="J192" s="170">
        <f t="shared" si="10"/>
        <v>0.67199999999999993</v>
      </c>
      <c r="K192" s="10"/>
      <c r="L192" s="10"/>
      <c r="M192" s="10"/>
      <c r="N192" s="10"/>
      <c r="O192" s="10"/>
      <c r="P192" s="10"/>
      <c r="Q192" s="10"/>
      <c r="R192" s="10"/>
      <c r="S192" s="10"/>
      <c r="T192" s="10"/>
      <c r="U192" s="10"/>
      <c r="V192" s="10"/>
      <c r="W192" s="10"/>
      <c r="X192" s="10"/>
      <c r="Y192" s="10"/>
    </row>
    <row r="193" spans="1:25" s="166" customFormat="1" ht="16.5" customHeight="1" x14ac:dyDescent="0.2">
      <c r="A193" s="361"/>
      <c r="B193" s="362"/>
      <c r="C193" s="363"/>
      <c r="D193" s="148">
        <f>1.8+0.2+0.2</f>
        <v>2.2000000000000002</v>
      </c>
      <c r="E193" s="148">
        <v>0.15</v>
      </c>
      <c r="F193" s="148">
        <v>0.1</v>
      </c>
      <c r="G193" s="148">
        <v>1</v>
      </c>
      <c r="H193" s="148">
        <v>7</v>
      </c>
      <c r="I193" s="207"/>
      <c r="J193" s="170">
        <f t="shared" si="10"/>
        <v>0.23100000000000001</v>
      </c>
      <c r="K193" s="10"/>
      <c r="L193" s="10"/>
      <c r="M193" s="10"/>
      <c r="N193" s="10"/>
      <c r="O193" s="10"/>
      <c r="P193" s="10"/>
      <c r="Q193" s="10"/>
      <c r="R193" s="10"/>
      <c r="S193" s="10"/>
      <c r="T193" s="10"/>
      <c r="U193" s="10"/>
      <c r="V193" s="10"/>
      <c r="W193" s="10"/>
      <c r="X193" s="10"/>
      <c r="Y193" s="10"/>
    </row>
    <row r="194" spans="1:25" s="166" customFormat="1" ht="16.5" customHeight="1" x14ac:dyDescent="0.2">
      <c r="A194" s="358" t="s">
        <v>674</v>
      </c>
      <c r="B194" s="359"/>
      <c r="C194" s="360"/>
      <c r="D194" s="148">
        <f>1.2+0.2+0.2</f>
        <v>1.5999999999999999</v>
      </c>
      <c r="E194" s="148">
        <v>0.15</v>
      </c>
      <c r="F194" s="148">
        <v>0.1</v>
      </c>
      <c r="G194" s="148">
        <v>4</v>
      </c>
      <c r="H194" s="148">
        <v>7</v>
      </c>
      <c r="I194" s="207"/>
      <c r="J194" s="170">
        <f t="shared" si="10"/>
        <v>0.67199999999999993</v>
      </c>
      <c r="K194" s="10"/>
      <c r="L194" s="10"/>
      <c r="M194" s="10"/>
      <c r="N194" s="10"/>
      <c r="O194" s="10"/>
      <c r="P194" s="10"/>
      <c r="Q194" s="10"/>
      <c r="R194" s="10"/>
      <c r="S194" s="10"/>
      <c r="T194" s="10"/>
      <c r="U194" s="10"/>
      <c r="V194" s="10"/>
      <c r="W194" s="10"/>
      <c r="X194" s="10"/>
      <c r="Y194" s="10"/>
    </row>
    <row r="195" spans="1:25" s="166" customFormat="1" ht="16.5" customHeight="1" x14ac:dyDescent="0.2">
      <c r="A195" s="361"/>
      <c r="B195" s="362"/>
      <c r="C195" s="363"/>
      <c r="D195" s="148">
        <f>1.8+0.2+0.2</f>
        <v>2.2000000000000002</v>
      </c>
      <c r="E195" s="148">
        <v>0.15</v>
      </c>
      <c r="F195" s="148">
        <v>0.1</v>
      </c>
      <c r="G195" s="148">
        <v>1</v>
      </c>
      <c r="H195" s="148">
        <v>7</v>
      </c>
      <c r="I195" s="207"/>
      <c r="J195" s="170">
        <f t="shared" si="10"/>
        <v>0.23100000000000001</v>
      </c>
      <c r="K195" s="10"/>
      <c r="L195" s="10"/>
      <c r="M195" s="10"/>
      <c r="N195" s="10"/>
      <c r="O195" s="10"/>
      <c r="P195" s="10"/>
      <c r="Q195" s="10"/>
      <c r="R195" s="10"/>
      <c r="S195" s="10"/>
      <c r="T195" s="10"/>
      <c r="U195" s="10"/>
      <c r="V195" s="10"/>
      <c r="W195" s="10"/>
      <c r="X195" s="10"/>
      <c r="Y195" s="10"/>
    </row>
    <row r="196" spans="1:25" s="166" customFormat="1" ht="16.5" customHeight="1" x14ac:dyDescent="0.2">
      <c r="A196" s="358" t="s">
        <v>675</v>
      </c>
      <c r="B196" s="359"/>
      <c r="C196" s="360"/>
      <c r="D196" s="148">
        <f>1.2+0.2+0.2</f>
        <v>1.5999999999999999</v>
      </c>
      <c r="E196" s="148">
        <v>0.15</v>
      </c>
      <c r="F196" s="148">
        <v>0.1</v>
      </c>
      <c r="G196" s="148">
        <v>4</v>
      </c>
      <c r="H196" s="148">
        <v>7</v>
      </c>
      <c r="I196" s="207"/>
      <c r="J196" s="170">
        <f t="shared" si="10"/>
        <v>0.67199999999999993</v>
      </c>
      <c r="K196" s="10"/>
      <c r="L196" s="10"/>
      <c r="M196" s="10"/>
      <c r="N196" s="10"/>
      <c r="O196" s="10"/>
      <c r="P196" s="10"/>
      <c r="Q196" s="10"/>
      <c r="R196" s="10"/>
      <c r="S196" s="10"/>
      <c r="T196" s="10"/>
      <c r="U196" s="10"/>
      <c r="V196" s="10"/>
      <c r="W196" s="10"/>
      <c r="X196" s="10"/>
      <c r="Y196" s="10"/>
    </row>
    <row r="197" spans="1:25" s="166" customFormat="1" ht="16.5" customHeight="1" x14ac:dyDescent="0.2">
      <c r="A197" s="361"/>
      <c r="B197" s="362"/>
      <c r="C197" s="363"/>
      <c r="D197" s="148">
        <f>1.8+0.2+0.2</f>
        <v>2.2000000000000002</v>
      </c>
      <c r="E197" s="148">
        <v>0.15</v>
      </c>
      <c r="F197" s="148">
        <v>0.1</v>
      </c>
      <c r="G197" s="148">
        <v>1</v>
      </c>
      <c r="H197" s="148">
        <v>7</v>
      </c>
      <c r="I197" s="207"/>
      <c r="J197" s="170">
        <f t="shared" si="10"/>
        <v>0.23100000000000001</v>
      </c>
      <c r="K197" s="10"/>
      <c r="L197" s="10"/>
      <c r="M197" s="10"/>
      <c r="N197" s="10"/>
      <c r="O197" s="10"/>
      <c r="P197" s="10"/>
      <c r="Q197" s="10"/>
      <c r="R197" s="10"/>
      <c r="S197" s="10"/>
      <c r="T197" s="10"/>
      <c r="U197" s="10"/>
      <c r="V197" s="10"/>
      <c r="W197" s="10"/>
      <c r="X197" s="10"/>
      <c r="Y197" s="10"/>
    </row>
    <row r="198" spans="1:25" s="166" customFormat="1" ht="16.5" customHeight="1" x14ac:dyDescent="0.2">
      <c r="A198" s="358" t="s">
        <v>676</v>
      </c>
      <c r="B198" s="359"/>
      <c r="C198" s="360"/>
      <c r="D198" s="148">
        <f>1.2+0.2+0.2</f>
        <v>1.5999999999999999</v>
      </c>
      <c r="E198" s="148">
        <v>0.15</v>
      </c>
      <c r="F198" s="148">
        <v>0.1</v>
      </c>
      <c r="G198" s="148">
        <v>4</v>
      </c>
      <c r="H198" s="148">
        <v>7</v>
      </c>
      <c r="I198" s="207"/>
      <c r="J198" s="170">
        <f t="shared" si="10"/>
        <v>0.67199999999999993</v>
      </c>
      <c r="K198" s="10"/>
      <c r="L198" s="10"/>
      <c r="M198" s="10"/>
      <c r="N198" s="10"/>
      <c r="O198" s="10"/>
      <c r="P198" s="10"/>
      <c r="Q198" s="10"/>
      <c r="R198" s="10"/>
      <c r="S198" s="10"/>
      <c r="T198" s="10"/>
      <c r="U198" s="10"/>
      <c r="V198" s="10"/>
      <c r="W198" s="10"/>
      <c r="X198" s="10"/>
      <c r="Y198" s="10"/>
    </row>
    <row r="199" spans="1:25" s="166" customFormat="1" ht="16.5" customHeight="1" x14ac:dyDescent="0.2">
      <c r="A199" s="361"/>
      <c r="B199" s="362"/>
      <c r="C199" s="363"/>
      <c r="D199" s="148">
        <f>1.8+0.2+0.2</f>
        <v>2.2000000000000002</v>
      </c>
      <c r="E199" s="148">
        <v>0.15</v>
      </c>
      <c r="F199" s="148">
        <v>0.1</v>
      </c>
      <c r="G199" s="148">
        <v>1</v>
      </c>
      <c r="H199" s="148">
        <v>7</v>
      </c>
      <c r="I199" s="207"/>
      <c r="J199" s="170">
        <f t="shared" si="10"/>
        <v>0.23100000000000001</v>
      </c>
      <c r="K199" s="10"/>
      <c r="L199" s="10"/>
      <c r="M199" s="10"/>
      <c r="N199" s="10"/>
      <c r="O199" s="10"/>
      <c r="P199" s="10"/>
      <c r="Q199" s="10"/>
      <c r="R199" s="10"/>
      <c r="S199" s="10"/>
      <c r="T199" s="10"/>
      <c r="U199" s="10"/>
      <c r="V199" s="10"/>
      <c r="W199" s="10"/>
      <c r="X199" s="10"/>
      <c r="Y199" s="10"/>
    </row>
    <row r="200" spans="1:25" s="166" customFormat="1" ht="16.5" customHeight="1" x14ac:dyDescent="0.2">
      <c r="A200" s="358" t="s">
        <v>677</v>
      </c>
      <c r="B200" s="359"/>
      <c r="C200" s="360"/>
      <c r="D200" s="148">
        <f>1.2+0.2+0.2</f>
        <v>1.5999999999999999</v>
      </c>
      <c r="E200" s="148">
        <v>0.15</v>
      </c>
      <c r="F200" s="148">
        <v>0.1</v>
      </c>
      <c r="G200" s="148">
        <v>4</v>
      </c>
      <c r="H200" s="148">
        <v>7</v>
      </c>
      <c r="I200" s="207"/>
      <c r="J200" s="170">
        <f t="shared" si="10"/>
        <v>0.67199999999999993</v>
      </c>
      <c r="K200" s="10"/>
      <c r="L200" s="10"/>
      <c r="M200" s="10"/>
      <c r="N200" s="10"/>
      <c r="O200" s="10"/>
      <c r="P200" s="10"/>
      <c r="Q200" s="10"/>
      <c r="R200" s="10"/>
      <c r="S200" s="10"/>
      <c r="T200" s="10"/>
      <c r="U200" s="10"/>
      <c r="V200" s="10"/>
      <c r="W200" s="10"/>
      <c r="X200" s="10"/>
      <c r="Y200" s="10"/>
    </row>
    <row r="201" spans="1:25" s="166" customFormat="1" ht="16.5" customHeight="1" x14ac:dyDescent="0.2">
      <c r="A201" s="361"/>
      <c r="B201" s="362"/>
      <c r="C201" s="363"/>
      <c r="D201" s="148">
        <f>1.8+0.2+0.2</f>
        <v>2.2000000000000002</v>
      </c>
      <c r="E201" s="148">
        <v>0.15</v>
      </c>
      <c r="F201" s="148">
        <v>0.1</v>
      </c>
      <c r="G201" s="148">
        <v>1</v>
      </c>
      <c r="H201" s="148">
        <v>7</v>
      </c>
      <c r="I201" s="207"/>
      <c r="J201" s="170">
        <f t="shared" si="10"/>
        <v>0.23100000000000001</v>
      </c>
      <c r="K201" s="10"/>
      <c r="L201" s="10"/>
      <c r="M201" s="10"/>
      <c r="N201" s="10"/>
      <c r="O201" s="10"/>
      <c r="P201" s="10"/>
      <c r="Q201" s="10"/>
      <c r="R201" s="10"/>
      <c r="S201" s="10"/>
      <c r="T201" s="10"/>
      <c r="U201" s="10"/>
      <c r="V201" s="10"/>
      <c r="W201" s="10"/>
      <c r="X201" s="10"/>
      <c r="Y201" s="10"/>
    </row>
    <row r="202" spans="1:25" s="166" customFormat="1" ht="16.5" customHeight="1" x14ac:dyDescent="0.2">
      <c r="A202" s="358" t="s">
        <v>678</v>
      </c>
      <c r="B202" s="359"/>
      <c r="C202" s="360"/>
      <c r="D202" s="148">
        <f>1.2+0.2+0.2</f>
        <v>1.5999999999999999</v>
      </c>
      <c r="E202" s="148">
        <v>0.15</v>
      </c>
      <c r="F202" s="148">
        <v>0.1</v>
      </c>
      <c r="G202" s="148">
        <v>4</v>
      </c>
      <c r="H202" s="148">
        <v>7</v>
      </c>
      <c r="I202" s="207"/>
      <c r="J202" s="170">
        <f t="shared" si="10"/>
        <v>0.67199999999999993</v>
      </c>
      <c r="K202" s="10"/>
      <c r="L202" s="10"/>
      <c r="M202" s="10"/>
      <c r="N202" s="10"/>
      <c r="O202" s="10"/>
      <c r="P202" s="10"/>
      <c r="Q202" s="10"/>
      <c r="R202" s="10"/>
      <c r="S202" s="10"/>
      <c r="T202" s="10"/>
      <c r="U202" s="10"/>
      <c r="V202" s="10"/>
      <c r="W202" s="10"/>
      <c r="X202" s="10"/>
      <c r="Y202" s="10"/>
    </row>
    <row r="203" spans="1:25" s="166" customFormat="1" ht="16.5" customHeight="1" x14ac:dyDescent="0.2">
      <c r="A203" s="361"/>
      <c r="B203" s="362"/>
      <c r="C203" s="363"/>
      <c r="D203" s="148">
        <f>1.8+0.2+0.2</f>
        <v>2.2000000000000002</v>
      </c>
      <c r="E203" s="148">
        <v>0.15</v>
      </c>
      <c r="F203" s="148">
        <v>0.1</v>
      </c>
      <c r="G203" s="148">
        <v>1</v>
      </c>
      <c r="H203" s="148">
        <v>7</v>
      </c>
      <c r="I203" s="207"/>
      <c r="J203" s="170">
        <f t="shared" si="10"/>
        <v>0.23100000000000001</v>
      </c>
      <c r="K203" s="10"/>
      <c r="L203" s="10"/>
      <c r="M203" s="10"/>
      <c r="N203" s="10"/>
      <c r="O203" s="10"/>
      <c r="P203" s="10"/>
      <c r="Q203" s="10"/>
      <c r="R203" s="10"/>
      <c r="S203" s="10"/>
      <c r="T203" s="10"/>
      <c r="U203" s="10"/>
      <c r="V203" s="10"/>
      <c r="W203" s="10"/>
      <c r="X203" s="10"/>
      <c r="Y203" s="10"/>
    </row>
    <row r="204" spans="1:25" s="166" customFormat="1" ht="16.5" customHeight="1" x14ac:dyDescent="0.2">
      <c r="A204" s="358" t="s">
        <v>679</v>
      </c>
      <c r="B204" s="359"/>
      <c r="C204" s="360"/>
      <c r="D204" s="148">
        <f>1.2+0.2+0.2</f>
        <v>1.5999999999999999</v>
      </c>
      <c r="E204" s="148">
        <v>0.15</v>
      </c>
      <c r="F204" s="148">
        <v>0.1</v>
      </c>
      <c r="G204" s="148">
        <v>4</v>
      </c>
      <c r="H204" s="148">
        <v>7</v>
      </c>
      <c r="I204" s="207"/>
      <c r="J204" s="170">
        <f t="shared" si="10"/>
        <v>0.67199999999999993</v>
      </c>
      <c r="K204" s="10"/>
      <c r="L204" s="10"/>
      <c r="M204" s="10"/>
      <c r="N204" s="10"/>
      <c r="O204" s="10"/>
      <c r="P204" s="10"/>
      <c r="Q204" s="10"/>
      <c r="R204" s="10"/>
      <c r="S204" s="10"/>
      <c r="T204" s="10"/>
      <c r="U204" s="10"/>
      <c r="V204" s="10"/>
      <c r="W204" s="10"/>
      <c r="X204" s="10"/>
      <c r="Y204" s="10"/>
    </row>
    <row r="205" spans="1:25" s="166" customFormat="1" ht="16.5" customHeight="1" x14ac:dyDescent="0.2">
      <c r="A205" s="361"/>
      <c r="B205" s="362"/>
      <c r="C205" s="363"/>
      <c r="D205" s="148">
        <f>1.8+0.2+0.2</f>
        <v>2.2000000000000002</v>
      </c>
      <c r="E205" s="148">
        <v>0.15</v>
      </c>
      <c r="F205" s="148">
        <v>0.1</v>
      </c>
      <c r="G205" s="148">
        <v>1</v>
      </c>
      <c r="H205" s="148">
        <v>7</v>
      </c>
      <c r="I205" s="207"/>
      <c r="J205" s="170">
        <f t="shared" si="10"/>
        <v>0.23100000000000001</v>
      </c>
      <c r="K205" s="10"/>
      <c r="L205" s="10"/>
      <c r="M205" s="10"/>
      <c r="N205" s="10"/>
      <c r="O205" s="10"/>
      <c r="P205" s="10"/>
      <c r="Q205" s="10"/>
      <c r="R205" s="10"/>
      <c r="S205" s="10"/>
      <c r="T205" s="10"/>
      <c r="U205" s="10"/>
      <c r="V205" s="10"/>
      <c r="W205" s="10"/>
      <c r="X205" s="10"/>
      <c r="Y205" s="10"/>
    </row>
    <row r="206" spans="1:25" s="166" customFormat="1" ht="16.5" customHeight="1" x14ac:dyDescent="0.2">
      <c r="A206" s="358" t="s">
        <v>680</v>
      </c>
      <c r="B206" s="359"/>
      <c r="C206" s="360"/>
      <c r="D206" s="148">
        <f>1.2+0.2+0.2</f>
        <v>1.5999999999999999</v>
      </c>
      <c r="E206" s="148">
        <v>0.15</v>
      </c>
      <c r="F206" s="148">
        <v>0.1</v>
      </c>
      <c r="G206" s="148">
        <v>4</v>
      </c>
      <c r="H206" s="148">
        <v>7</v>
      </c>
      <c r="I206" s="207"/>
      <c r="J206" s="170">
        <f t="shared" si="10"/>
        <v>0.67199999999999993</v>
      </c>
      <c r="K206" s="10"/>
      <c r="L206" s="10"/>
      <c r="M206" s="10"/>
      <c r="N206" s="10"/>
      <c r="O206" s="10"/>
      <c r="P206" s="10"/>
      <c r="Q206" s="10"/>
      <c r="R206" s="10"/>
      <c r="S206" s="10"/>
      <c r="T206" s="10"/>
      <c r="U206" s="10"/>
      <c r="V206" s="10"/>
      <c r="W206" s="10"/>
      <c r="X206" s="10"/>
      <c r="Y206" s="10"/>
    </row>
    <row r="207" spans="1:25" s="166" customFormat="1" ht="16.5" customHeight="1" x14ac:dyDescent="0.2">
      <c r="A207" s="361"/>
      <c r="B207" s="362"/>
      <c r="C207" s="363"/>
      <c r="D207" s="148">
        <f>1.8+0.2+0.2</f>
        <v>2.2000000000000002</v>
      </c>
      <c r="E207" s="148">
        <v>0.15</v>
      </c>
      <c r="F207" s="148">
        <v>0.1</v>
      </c>
      <c r="G207" s="148">
        <v>1</v>
      </c>
      <c r="H207" s="148">
        <v>7</v>
      </c>
      <c r="I207" s="207"/>
      <c r="J207" s="170">
        <f t="shared" si="10"/>
        <v>0.23100000000000001</v>
      </c>
      <c r="K207" s="10"/>
      <c r="L207" s="10"/>
      <c r="M207" s="10"/>
      <c r="N207" s="10"/>
      <c r="O207" s="10"/>
      <c r="P207" s="10"/>
      <c r="Q207" s="10"/>
      <c r="R207" s="10"/>
      <c r="S207" s="10"/>
      <c r="T207" s="10"/>
      <c r="U207" s="10"/>
      <c r="V207" s="10"/>
      <c r="W207" s="10"/>
      <c r="X207" s="10"/>
      <c r="Y207" s="10"/>
    </row>
    <row r="208" spans="1:25" s="166" customFormat="1" ht="16.5" customHeight="1" x14ac:dyDescent="0.2">
      <c r="A208" s="358" t="s">
        <v>681</v>
      </c>
      <c r="B208" s="359"/>
      <c r="C208" s="360"/>
      <c r="D208" s="148">
        <f>1.2+0.2+0.2</f>
        <v>1.5999999999999999</v>
      </c>
      <c r="E208" s="148">
        <v>0.15</v>
      </c>
      <c r="F208" s="148">
        <v>0.1</v>
      </c>
      <c r="G208" s="148">
        <v>4</v>
      </c>
      <c r="H208" s="148">
        <v>7</v>
      </c>
      <c r="I208" s="207"/>
      <c r="J208" s="170">
        <f t="shared" si="10"/>
        <v>0.67199999999999993</v>
      </c>
      <c r="K208" s="10"/>
      <c r="L208" s="10"/>
      <c r="M208" s="10"/>
      <c r="N208" s="10"/>
      <c r="O208" s="10"/>
      <c r="P208" s="10"/>
      <c r="Q208" s="10"/>
      <c r="R208" s="10"/>
      <c r="S208" s="10"/>
      <c r="T208" s="10"/>
      <c r="U208" s="10"/>
      <c r="V208" s="10"/>
      <c r="W208" s="10"/>
      <c r="X208" s="10"/>
      <c r="Y208" s="10"/>
    </row>
    <row r="209" spans="1:25" s="166" customFormat="1" ht="16.5" customHeight="1" x14ac:dyDescent="0.2">
      <c r="A209" s="361"/>
      <c r="B209" s="362"/>
      <c r="C209" s="363"/>
      <c r="D209" s="148">
        <f>1.8+0.2+0.2</f>
        <v>2.2000000000000002</v>
      </c>
      <c r="E209" s="148">
        <v>0.15</v>
      </c>
      <c r="F209" s="148">
        <v>0.1</v>
      </c>
      <c r="G209" s="148">
        <v>1</v>
      </c>
      <c r="H209" s="148">
        <v>7</v>
      </c>
      <c r="I209" s="207"/>
      <c r="J209" s="170">
        <f t="shared" si="10"/>
        <v>0.23100000000000001</v>
      </c>
      <c r="K209" s="10"/>
      <c r="L209" s="10"/>
      <c r="M209" s="10"/>
      <c r="N209" s="10"/>
      <c r="O209" s="10"/>
      <c r="P209" s="10"/>
      <c r="Q209" s="10"/>
      <c r="R209" s="10"/>
      <c r="S209" s="10"/>
      <c r="T209" s="10"/>
      <c r="U209" s="10"/>
      <c r="V209" s="10"/>
      <c r="W209" s="10"/>
      <c r="X209" s="10"/>
      <c r="Y209" s="10"/>
    </row>
    <row r="210" spans="1:25" s="166" customFormat="1" ht="16.5" customHeight="1" x14ac:dyDescent="0.2">
      <c r="A210" s="358" t="s">
        <v>682</v>
      </c>
      <c r="B210" s="359"/>
      <c r="C210" s="360"/>
      <c r="D210" s="148">
        <f>1.2+0.2+0.2</f>
        <v>1.5999999999999999</v>
      </c>
      <c r="E210" s="148">
        <v>0.15</v>
      </c>
      <c r="F210" s="148">
        <v>0.1</v>
      </c>
      <c r="G210" s="148">
        <v>4</v>
      </c>
      <c r="H210" s="148">
        <v>7</v>
      </c>
      <c r="I210" s="207"/>
      <c r="J210" s="170">
        <f t="shared" si="10"/>
        <v>0.67199999999999993</v>
      </c>
      <c r="K210" s="10"/>
      <c r="L210" s="10"/>
      <c r="M210" s="10"/>
      <c r="N210" s="10"/>
      <c r="O210" s="10"/>
      <c r="P210" s="10"/>
      <c r="Q210" s="10"/>
      <c r="R210" s="10"/>
      <c r="S210" s="10"/>
      <c r="T210" s="10"/>
      <c r="U210" s="10"/>
      <c r="V210" s="10"/>
      <c r="W210" s="10"/>
      <c r="X210" s="10"/>
      <c r="Y210" s="10"/>
    </row>
    <row r="211" spans="1:25" s="166" customFormat="1" ht="16.5" customHeight="1" x14ac:dyDescent="0.2">
      <c r="A211" s="361"/>
      <c r="B211" s="362"/>
      <c r="C211" s="363"/>
      <c r="D211" s="148">
        <f>1.8+0.2+0.2</f>
        <v>2.2000000000000002</v>
      </c>
      <c r="E211" s="148">
        <v>0.15</v>
      </c>
      <c r="F211" s="148">
        <v>0.1</v>
      </c>
      <c r="G211" s="148">
        <v>1</v>
      </c>
      <c r="H211" s="148">
        <v>7</v>
      </c>
      <c r="I211" s="207"/>
      <c r="J211" s="170">
        <f t="shared" si="10"/>
        <v>0.23100000000000001</v>
      </c>
      <c r="K211" s="10"/>
      <c r="L211" s="10"/>
      <c r="M211" s="10"/>
      <c r="N211" s="10"/>
      <c r="O211" s="10"/>
      <c r="P211" s="10"/>
      <c r="Q211" s="10"/>
      <c r="R211" s="10"/>
      <c r="S211" s="10"/>
      <c r="T211" s="10"/>
      <c r="U211" s="10"/>
      <c r="V211" s="10"/>
      <c r="W211" s="10"/>
      <c r="X211" s="10"/>
      <c r="Y211" s="10"/>
    </row>
    <row r="212" spans="1:25" s="166" customFormat="1" ht="16.5" customHeight="1" x14ac:dyDescent="0.2">
      <c r="A212" s="358" t="s">
        <v>683</v>
      </c>
      <c r="B212" s="359"/>
      <c r="C212" s="360"/>
      <c r="D212" s="148">
        <f>1.2+0.2+0.2</f>
        <v>1.5999999999999999</v>
      </c>
      <c r="E212" s="148">
        <v>0.15</v>
      </c>
      <c r="F212" s="148">
        <v>0.1</v>
      </c>
      <c r="G212" s="148">
        <v>4</v>
      </c>
      <c r="H212" s="148">
        <v>7</v>
      </c>
      <c r="I212" s="207"/>
      <c r="J212" s="170">
        <f t="shared" si="10"/>
        <v>0.67199999999999993</v>
      </c>
      <c r="K212" s="10"/>
      <c r="L212" s="10"/>
      <c r="M212" s="10"/>
      <c r="N212" s="10"/>
      <c r="O212" s="10"/>
      <c r="P212" s="10"/>
      <c r="Q212" s="10"/>
      <c r="R212" s="10"/>
      <c r="S212" s="10"/>
      <c r="T212" s="10"/>
      <c r="U212" s="10"/>
      <c r="V212" s="10"/>
      <c r="W212" s="10"/>
      <c r="X212" s="10"/>
      <c r="Y212" s="10"/>
    </row>
    <row r="213" spans="1:25" s="166" customFormat="1" ht="16.5" customHeight="1" x14ac:dyDescent="0.2">
      <c r="A213" s="361"/>
      <c r="B213" s="362"/>
      <c r="C213" s="363"/>
      <c r="D213" s="148">
        <f>1.8+0.2+0.2</f>
        <v>2.2000000000000002</v>
      </c>
      <c r="E213" s="148">
        <v>0.15</v>
      </c>
      <c r="F213" s="148">
        <v>0.1</v>
      </c>
      <c r="G213" s="148">
        <v>1</v>
      </c>
      <c r="H213" s="148">
        <v>7</v>
      </c>
      <c r="I213" s="207"/>
      <c r="J213" s="170">
        <f t="shared" si="10"/>
        <v>0.23100000000000001</v>
      </c>
      <c r="K213" s="10"/>
      <c r="L213" s="10"/>
      <c r="M213" s="10"/>
      <c r="N213" s="10"/>
      <c r="O213" s="10"/>
      <c r="P213" s="10"/>
      <c r="Q213" s="10"/>
      <c r="R213" s="10"/>
      <c r="S213" s="10"/>
      <c r="T213" s="10"/>
      <c r="U213" s="10"/>
      <c r="V213" s="10"/>
      <c r="W213" s="10"/>
      <c r="X213" s="10"/>
      <c r="Y213" s="10"/>
    </row>
    <row r="214" spans="1:25" s="166" customFormat="1" ht="16.5" customHeight="1" x14ac:dyDescent="0.2">
      <c r="A214" s="358" t="s">
        <v>684</v>
      </c>
      <c r="B214" s="359"/>
      <c r="C214" s="360"/>
      <c r="D214" s="148">
        <f>1.2+0.2+0.2</f>
        <v>1.5999999999999999</v>
      </c>
      <c r="E214" s="148">
        <v>0.15</v>
      </c>
      <c r="F214" s="148">
        <v>0.1</v>
      </c>
      <c r="G214" s="148">
        <v>4</v>
      </c>
      <c r="H214" s="148">
        <v>7</v>
      </c>
      <c r="I214" s="207"/>
      <c r="J214" s="170">
        <f t="shared" si="10"/>
        <v>0.67199999999999993</v>
      </c>
      <c r="K214" s="10"/>
      <c r="L214" s="10"/>
      <c r="M214" s="10"/>
      <c r="N214" s="10"/>
      <c r="O214" s="10"/>
      <c r="P214" s="10"/>
      <c r="Q214" s="10"/>
      <c r="R214" s="10"/>
      <c r="S214" s="10"/>
      <c r="T214" s="10"/>
      <c r="U214" s="10"/>
      <c r="V214" s="10"/>
      <c r="W214" s="10"/>
      <c r="X214" s="10"/>
      <c r="Y214" s="10"/>
    </row>
    <row r="215" spans="1:25" s="166" customFormat="1" ht="16.5" customHeight="1" x14ac:dyDescent="0.2">
      <c r="A215" s="361"/>
      <c r="B215" s="362"/>
      <c r="C215" s="363"/>
      <c r="D215" s="148">
        <f>1.8+0.2+0.2</f>
        <v>2.2000000000000002</v>
      </c>
      <c r="E215" s="148">
        <v>0.15</v>
      </c>
      <c r="F215" s="148">
        <v>0.1</v>
      </c>
      <c r="G215" s="148">
        <v>1</v>
      </c>
      <c r="H215" s="148">
        <v>7</v>
      </c>
      <c r="I215" s="207"/>
      <c r="J215" s="170">
        <f t="shared" si="10"/>
        <v>0.23100000000000001</v>
      </c>
      <c r="K215" s="10"/>
      <c r="L215" s="10"/>
      <c r="M215" s="10"/>
      <c r="N215" s="10"/>
      <c r="O215" s="10"/>
      <c r="P215" s="10"/>
      <c r="Q215" s="10"/>
      <c r="R215" s="10"/>
      <c r="S215" s="10"/>
      <c r="T215" s="10"/>
      <c r="U215" s="10"/>
      <c r="V215" s="10"/>
      <c r="W215" s="10"/>
      <c r="X215" s="10"/>
      <c r="Y215" s="10"/>
    </row>
    <row r="216" spans="1:25" s="166" customFormat="1" ht="16.5" customHeight="1" x14ac:dyDescent="0.2">
      <c r="A216" s="358" t="s">
        <v>685</v>
      </c>
      <c r="B216" s="359"/>
      <c r="C216" s="360"/>
      <c r="D216" s="148">
        <f>1.2+0.2+0.2</f>
        <v>1.5999999999999999</v>
      </c>
      <c r="E216" s="148">
        <v>0.15</v>
      </c>
      <c r="F216" s="148">
        <v>0.1</v>
      </c>
      <c r="G216" s="148">
        <v>4</v>
      </c>
      <c r="H216" s="148">
        <v>7</v>
      </c>
      <c r="I216" s="207"/>
      <c r="J216" s="170">
        <f t="shared" si="10"/>
        <v>0.67199999999999993</v>
      </c>
      <c r="K216" s="10"/>
      <c r="L216" s="10"/>
      <c r="M216" s="10"/>
      <c r="N216" s="10"/>
      <c r="O216" s="10"/>
      <c r="P216" s="10"/>
      <c r="Q216" s="10"/>
      <c r="R216" s="10"/>
      <c r="S216" s="10"/>
      <c r="T216" s="10"/>
      <c r="U216" s="10"/>
      <c r="V216" s="10"/>
      <c r="W216" s="10"/>
      <c r="X216" s="10"/>
      <c r="Y216" s="10"/>
    </row>
    <row r="217" spans="1:25" s="166" customFormat="1" ht="16.5" customHeight="1" x14ac:dyDescent="0.2">
      <c r="A217" s="361"/>
      <c r="B217" s="362"/>
      <c r="C217" s="363"/>
      <c r="D217" s="148">
        <f>1.8+0.2+0.2</f>
        <v>2.2000000000000002</v>
      </c>
      <c r="E217" s="148">
        <v>0.15</v>
      </c>
      <c r="F217" s="148">
        <v>0.1</v>
      </c>
      <c r="G217" s="148">
        <v>1</v>
      </c>
      <c r="H217" s="148">
        <v>7</v>
      </c>
      <c r="I217" s="207"/>
      <c r="J217" s="170">
        <f t="shared" si="10"/>
        <v>0.23100000000000001</v>
      </c>
      <c r="K217" s="10"/>
      <c r="L217" s="10"/>
      <c r="M217" s="10"/>
      <c r="N217" s="10"/>
      <c r="O217" s="10"/>
      <c r="P217" s="10"/>
      <c r="Q217" s="10"/>
      <c r="R217" s="10"/>
      <c r="S217" s="10"/>
      <c r="T217" s="10"/>
      <c r="U217" s="10"/>
      <c r="V217" s="10"/>
      <c r="W217" s="10"/>
      <c r="X217" s="10"/>
      <c r="Y217" s="10"/>
    </row>
    <row r="218" spans="1:25" s="166" customFormat="1" ht="16.5" customHeight="1" x14ac:dyDescent="0.2">
      <c r="A218" s="358" t="s">
        <v>686</v>
      </c>
      <c r="B218" s="359"/>
      <c r="C218" s="360"/>
      <c r="D218" s="148">
        <f>1.2+0.2+0.2</f>
        <v>1.5999999999999999</v>
      </c>
      <c r="E218" s="148">
        <v>0.15</v>
      </c>
      <c r="F218" s="148">
        <v>0.1</v>
      </c>
      <c r="G218" s="148">
        <v>4</v>
      </c>
      <c r="H218" s="148">
        <v>7</v>
      </c>
      <c r="I218" s="207"/>
      <c r="J218" s="170">
        <f t="shared" si="10"/>
        <v>0.67199999999999993</v>
      </c>
      <c r="K218" s="10"/>
      <c r="L218" s="10"/>
      <c r="M218" s="10"/>
      <c r="N218" s="10"/>
      <c r="O218" s="10"/>
      <c r="P218" s="10"/>
      <c r="Q218" s="10"/>
      <c r="R218" s="10"/>
      <c r="S218" s="10"/>
      <c r="T218" s="10"/>
      <c r="U218" s="10"/>
      <c r="V218" s="10"/>
      <c r="W218" s="10"/>
      <c r="X218" s="10"/>
      <c r="Y218" s="10"/>
    </row>
    <row r="219" spans="1:25" s="166" customFormat="1" ht="16.5" customHeight="1" x14ac:dyDescent="0.2">
      <c r="A219" s="361"/>
      <c r="B219" s="362"/>
      <c r="C219" s="363"/>
      <c r="D219" s="148">
        <f>1.8+0.2+0.2</f>
        <v>2.2000000000000002</v>
      </c>
      <c r="E219" s="148">
        <v>0.15</v>
      </c>
      <c r="F219" s="148">
        <v>0.1</v>
      </c>
      <c r="G219" s="148">
        <v>1</v>
      </c>
      <c r="H219" s="148">
        <v>7</v>
      </c>
      <c r="I219" s="207"/>
      <c r="J219" s="170">
        <f t="shared" si="10"/>
        <v>0.23100000000000001</v>
      </c>
      <c r="K219" s="10"/>
      <c r="L219" s="10"/>
      <c r="M219" s="10"/>
      <c r="N219" s="10"/>
      <c r="O219" s="10"/>
      <c r="P219" s="10"/>
      <c r="Q219" s="10"/>
      <c r="R219" s="10"/>
      <c r="S219" s="10"/>
      <c r="T219" s="10"/>
      <c r="U219" s="10"/>
      <c r="V219" s="10"/>
      <c r="W219" s="10"/>
      <c r="X219" s="10"/>
      <c r="Y219" s="10"/>
    </row>
    <row r="220" spans="1:25" s="166" customFormat="1" ht="16.5" customHeight="1" x14ac:dyDescent="0.2">
      <c r="A220" s="342" t="str">
        <f>"TOTAL - "&amp;'Planilha orçamentária'!F39</f>
        <v>TOTAL - M3</v>
      </c>
      <c r="B220" s="342"/>
      <c r="C220" s="342"/>
      <c r="D220" s="342"/>
      <c r="E220" s="342"/>
      <c r="F220" s="342"/>
      <c r="G220" s="342"/>
      <c r="H220" s="342"/>
      <c r="I220" s="342"/>
      <c r="J220" s="149">
        <f>SUM(J188:J219)</f>
        <v>14.448</v>
      </c>
      <c r="K220" s="10"/>
      <c r="L220" s="10"/>
      <c r="M220" s="10"/>
      <c r="N220" s="10"/>
      <c r="O220" s="10"/>
      <c r="P220" s="10"/>
      <c r="Q220" s="10"/>
      <c r="R220" s="10"/>
      <c r="S220" s="10"/>
      <c r="T220" s="10"/>
      <c r="U220" s="10"/>
      <c r="V220" s="10"/>
      <c r="W220" s="10"/>
      <c r="X220" s="10"/>
      <c r="Y220" s="10"/>
    </row>
    <row r="221" spans="1:25" ht="16.5" customHeight="1" x14ac:dyDescent="0.2">
      <c r="A221" s="184" t="str">
        <f>'Planilha orçamentária'!A40</f>
        <v>6.10</v>
      </c>
      <c r="B221" s="343" t="str">
        <f>'Planilha orçamentária'!D40</f>
        <v>Contraverga em concreto estrutural para vãos acima de 150cm, preparado em obra com betoneira, controle "a", com fck 20 MPa, moldada in loco, inclusive armação</v>
      </c>
      <c r="C221" s="344"/>
      <c r="D221" s="344"/>
      <c r="E221" s="344"/>
      <c r="F221" s="344"/>
      <c r="G221" s="344"/>
      <c r="H221" s="344"/>
      <c r="I221" s="344"/>
      <c r="J221" s="344"/>
      <c r="K221" s="10"/>
      <c r="L221" s="10"/>
      <c r="M221" s="10"/>
      <c r="N221" s="10"/>
      <c r="O221" s="10"/>
      <c r="P221" s="10"/>
      <c r="Q221" s="10"/>
      <c r="R221" s="10"/>
      <c r="S221" s="10"/>
      <c r="T221" s="10"/>
      <c r="U221" s="10"/>
      <c r="V221" s="10"/>
      <c r="W221" s="10"/>
      <c r="X221" s="10"/>
      <c r="Y221" s="10"/>
    </row>
    <row r="222" spans="1:25" ht="25.5" customHeight="1" x14ac:dyDescent="0.2">
      <c r="A222" s="327" t="s">
        <v>120</v>
      </c>
      <c r="B222" s="328"/>
      <c r="C222" s="328"/>
      <c r="D222" s="182" t="s">
        <v>121</v>
      </c>
      <c r="E222" s="182" t="s">
        <v>122</v>
      </c>
      <c r="F222" s="182" t="s">
        <v>123</v>
      </c>
      <c r="G222" s="181" t="s">
        <v>468</v>
      </c>
      <c r="H222" s="181" t="s">
        <v>469</v>
      </c>
      <c r="I222" s="182" t="s">
        <v>126</v>
      </c>
      <c r="J222" s="182" t="s">
        <v>113</v>
      </c>
      <c r="K222" s="10"/>
      <c r="L222" s="10"/>
      <c r="M222" s="10"/>
      <c r="N222" s="10"/>
      <c r="O222" s="10"/>
      <c r="P222" s="10"/>
      <c r="Q222" s="10"/>
      <c r="R222" s="10"/>
      <c r="S222" s="10"/>
      <c r="T222" s="10"/>
      <c r="U222" s="10"/>
      <c r="V222" s="10"/>
      <c r="W222" s="10"/>
      <c r="X222" s="10"/>
      <c r="Y222" s="10"/>
    </row>
    <row r="223" spans="1:25" s="166" customFormat="1" ht="16.5" customHeight="1" x14ac:dyDescent="0.2">
      <c r="A223" s="336" t="s">
        <v>886</v>
      </c>
      <c r="B223" s="337"/>
      <c r="C223" s="337"/>
      <c r="D223" s="337"/>
      <c r="E223" s="337"/>
      <c r="F223" s="337"/>
      <c r="G223" s="337"/>
      <c r="H223" s="337"/>
      <c r="I223" s="337"/>
      <c r="J223" s="338"/>
      <c r="K223" s="10"/>
      <c r="L223" s="10"/>
      <c r="M223" s="10"/>
      <c r="N223" s="10"/>
      <c r="O223" s="10"/>
      <c r="P223" s="10"/>
      <c r="Q223" s="10"/>
      <c r="R223" s="10"/>
      <c r="S223" s="10"/>
      <c r="T223" s="10"/>
      <c r="U223" s="10"/>
      <c r="V223" s="10"/>
      <c r="W223" s="10"/>
      <c r="X223" s="10"/>
      <c r="Y223" s="10"/>
    </row>
    <row r="224" spans="1:25" ht="16.5" customHeight="1" x14ac:dyDescent="0.2">
      <c r="A224" s="345" t="s">
        <v>671</v>
      </c>
      <c r="B224" s="346"/>
      <c r="C224" s="347"/>
      <c r="D224" s="148">
        <f>1.2+0.2+0.2</f>
        <v>1.5999999999999999</v>
      </c>
      <c r="E224" s="148">
        <v>0.15</v>
      </c>
      <c r="F224" s="148">
        <v>0.1</v>
      </c>
      <c r="G224" s="148">
        <v>4</v>
      </c>
      <c r="H224" s="148">
        <v>7</v>
      </c>
      <c r="I224" s="148"/>
      <c r="J224" s="170">
        <f>PRODUCT(D224:H224)-I224</f>
        <v>0.67199999999999993</v>
      </c>
      <c r="K224" s="10"/>
      <c r="L224" s="10"/>
      <c r="M224" s="10"/>
      <c r="N224" s="10"/>
      <c r="O224" s="10"/>
      <c r="P224" s="10"/>
      <c r="Q224" s="10"/>
      <c r="R224" s="10"/>
      <c r="S224" s="10"/>
      <c r="T224" s="10"/>
      <c r="U224" s="10"/>
      <c r="V224" s="10"/>
      <c r="W224" s="10"/>
      <c r="X224" s="10"/>
      <c r="Y224" s="10"/>
    </row>
    <row r="225" spans="1:25" ht="16.5" customHeight="1" x14ac:dyDescent="0.2">
      <c r="A225" s="348"/>
      <c r="B225" s="349"/>
      <c r="C225" s="350"/>
      <c r="D225" s="148">
        <f>1.8+0.2+0.2</f>
        <v>2.2000000000000002</v>
      </c>
      <c r="E225" s="148">
        <v>0.15</v>
      </c>
      <c r="F225" s="148">
        <v>0.1</v>
      </c>
      <c r="G225" s="148">
        <v>1</v>
      </c>
      <c r="H225" s="148">
        <v>7</v>
      </c>
      <c r="I225" s="148"/>
      <c r="J225" s="170">
        <f t="shared" ref="J225:J255" si="11">PRODUCT(D225:H225)-I225</f>
        <v>0.23100000000000001</v>
      </c>
      <c r="K225" s="10"/>
      <c r="L225" s="10"/>
      <c r="M225" s="10"/>
      <c r="N225" s="10"/>
      <c r="O225" s="10"/>
      <c r="P225" s="10"/>
      <c r="Q225" s="10"/>
      <c r="R225" s="10"/>
      <c r="S225" s="10"/>
      <c r="T225" s="10"/>
      <c r="U225" s="10"/>
      <c r="V225" s="10"/>
      <c r="W225" s="10"/>
      <c r="X225" s="10"/>
      <c r="Y225" s="10"/>
    </row>
    <row r="226" spans="1:25" ht="16.5" customHeight="1" x14ac:dyDescent="0.2">
      <c r="A226" s="351" t="s">
        <v>672</v>
      </c>
      <c r="B226" s="352"/>
      <c r="C226" s="353"/>
      <c r="D226" s="148">
        <f>1.2+0.2+0.2</f>
        <v>1.5999999999999999</v>
      </c>
      <c r="E226" s="148">
        <v>0.15</v>
      </c>
      <c r="F226" s="148">
        <v>0.1</v>
      </c>
      <c r="G226" s="148">
        <v>4</v>
      </c>
      <c r="H226" s="148">
        <v>7</v>
      </c>
      <c r="I226" s="148"/>
      <c r="J226" s="170">
        <f t="shared" si="11"/>
        <v>0.67199999999999993</v>
      </c>
      <c r="K226" s="10"/>
      <c r="L226" s="10"/>
      <c r="M226" s="10"/>
      <c r="N226" s="10"/>
      <c r="O226" s="10"/>
      <c r="P226" s="10"/>
      <c r="Q226" s="10"/>
      <c r="R226" s="10"/>
      <c r="S226" s="10"/>
      <c r="T226" s="10"/>
      <c r="U226" s="10"/>
      <c r="V226" s="10"/>
      <c r="W226" s="10"/>
      <c r="X226" s="10"/>
      <c r="Y226" s="10"/>
    </row>
    <row r="227" spans="1:25" ht="16.5" customHeight="1" x14ac:dyDescent="0.2">
      <c r="A227" s="354"/>
      <c r="B227" s="355"/>
      <c r="C227" s="356"/>
      <c r="D227" s="148">
        <f>1.8+0.2+0.2</f>
        <v>2.2000000000000002</v>
      </c>
      <c r="E227" s="148">
        <v>0.15</v>
      </c>
      <c r="F227" s="148">
        <v>0.1</v>
      </c>
      <c r="G227" s="148">
        <v>1</v>
      </c>
      <c r="H227" s="148">
        <v>7</v>
      </c>
      <c r="I227" s="148"/>
      <c r="J227" s="170">
        <f t="shared" si="11"/>
        <v>0.23100000000000001</v>
      </c>
      <c r="K227" s="10"/>
      <c r="L227" s="10"/>
      <c r="M227" s="10"/>
      <c r="N227" s="10"/>
      <c r="O227" s="10"/>
      <c r="P227" s="10"/>
      <c r="Q227" s="10"/>
      <c r="R227" s="10"/>
      <c r="S227" s="10"/>
      <c r="T227" s="10"/>
      <c r="U227" s="10"/>
      <c r="V227" s="10"/>
      <c r="W227" s="10"/>
      <c r="X227" s="10"/>
      <c r="Y227" s="10"/>
    </row>
    <row r="228" spans="1:25" ht="16.5" customHeight="1" x14ac:dyDescent="0.2">
      <c r="A228" s="351" t="s">
        <v>673</v>
      </c>
      <c r="B228" s="352"/>
      <c r="C228" s="353"/>
      <c r="D228" s="148">
        <f>1.2+0.2+0.2</f>
        <v>1.5999999999999999</v>
      </c>
      <c r="E228" s="148">
        <v>0.15</v>
      </c>
      <c r="F228" s="148">
        <v>0.1</v>
      </c>
      <c r="G228" s="148">
        <v>4</v>
      </c>
      <c r="H228" s="148">
        <v>7</v>
      </c>
      <c r="I228" s="148"/>
      <c r="J228" s="170">
        <f t="shared" si="11"/>
        <v>0.67199999999999993</v>
      </c>
      <c r="K228" s="10"/>
      <c r="L228" s="10"/>
      <c r="M228" s="10"/>
      <c r="N228" s="10"/>
      <c r="O228" s="10"/>
      <c r="P228" s="10"/>
      <c r="Q228" s="10"/>
      <c r="R228" s="10"/>
      <c r="S228" s="10"/>
      <c r="T228" s="10"/>
      <c r="U228" s="10"/>
      <c r="V228" s="10"/>
      <c r="W228" s="10"/>
      <c r="X228" s="10"/>
      <c r="Y228" s="10"/>
    </row>
    <row r="229" spans="1:25" ht="16.5" customHeight="1" x14ac:dyDescent="0.2">
      <c r="A229" s="354"/>
      <c r="B229" s="355"/>
      <c r="C229" s="356"/>
      <c r="D229" s="148">
        <f>1.8+0.2+0.2</f>
        <v>2.2000000000000002</v>
      </c>
      <c r="E229" s="148">
        <v>0.15</v>
      </c>
      <c r="F229" s="148">
        <v>0.1</v>
      </c>
      <c r="G229" s="148">
        <v>1</v>
      </c>
      <c r="H229" s="148">
        <v>7</v>
      </c>
      <c r="I229" s="148"/>
      <c r="J229" s="170">
        <f t="shared" si="11"/>
        <v>0.23100000000000001</v>
      </c>
      <c r="K229" s="10"/>
      <c r="L229" s="10"/>
      <c r="M229" s="10"/>
      <c r="N229" s="10"/>
      <c r="O229" s="10"/>
      <c r="P229" s="10"/>
      <c r="Q229" s="10"/>
      <c r="R229" s="10"/>
      <c r="S229" s="10"/>
      <c r="T229" s="10"/>
      <c r="U229" s="10"/>
      <c r="V229" s="10"/>
      <c r="W229" s="10"/>
      <c r="X229" s="10"/>
      <c r="Y229" s="10"/>
    </row>
    <row r="230" spans="1:25" ht="16.5" customHeight="1" x14ac:dyDescent="0.2">
      <c r="A230" s="351" t="s">
        <v>674</v>
      </c>
      <c r="B230" s="352"/>
      <c r="C230" s="353"/>
      <c r="D230" s="148">
        <f>1.2+0.2+0.2</f>
        <v>1.5999999999999999</v>
      </c>
      <c r="E230" s="148">
        <v>0.15</v>
      </c>
      <c r="F230" s="148">
        <v>0.1</v>
      </c>
      <c r="G230" s="148">
        <v>4</v>
      </c>
      <c r="H230" s="148">
        <v>7</v>
      </c>
      <c r="I230" s="148"/>
      <c r="J230" s="170">
        <f t="shared" si="11"/>
        <v>0.67199999999999993</v>
      </c>
      <c r="K230" s="10"/>
      <c r="L230" s="10"/>
      <c r="M230" s="10"/>
      <c r="N230" s="10"/>
      <c r="O230" s="10"/>
      <c r="P230" s="10"/>
      <c r="Q230" s="10"/>
      <c r="R230" s="10"/>
      <c r="S230" s="10"/>
      <c r="T230" s="10"/>
      <c r="U230" s="10"/>
      <c r="V230" s="10"/>
      <c r="W230" s="10"/>
      <c r="X230" s="10"/>
      <c r="Y230" s="10"/>
    </row>
    <row r="231" spans="1:25" ht="16.5" customHeight="1" x14ac:dyDescent="0.2">
      <c r="A231" s="354"/>
      <c r="B231" s="355"/>
      <c r="C231" s="356"/>
      <c r="D231" s="148">
        <f>1.8+0.2+0.2</f>
        <v>2.2000000000000002</v>
      </c>
      <c r="E231" s="148">
        <v>0.15</v>
      </c>
      <c r="F231" s="148">
        <v>0.1</v>
      </c>
      <c r="G231" s="148">
        <v>1</v>
      </c>
      <c r="H231" s="148">
        <v>7</v>
      </c>
      <c r="I231" s="148"/>
      <c r="J231" s="170">
        <f t="shared" si="11"/>
        <v>0.23100000000000001</v>
      </c>
      <c r="K231" s="10"/>
      <c r="L231" s="10"/>
      <c r="M231" s="10"/>
      <c r="N231" s="10"/>
      <c r="O231" s="10"/>
      <c r="P231" s="10"/>
      <c r="Q231" s="10"/>
      <c r="R231" s="10"/>
      <c r="S231" s="10"/>
      <c r="T231" s="10"/>
      <c r="U231" s="10"/>
      <c r="V231" s="10"/>
      <c r="W231" s="10"/>
      <c r="X231" s="10"/>
      <c r="Y231" s="10"/>
    </row>
    <row r="232" spans="1:25" ht="16.5" customHeight="1" x14ac:dyDescent="0.2">
      <c r="A232" s="351" t="s">
        <v>675</v>
      </c>
      <c r="B232" s="352"/>
      <c r="C232" s="353"/>
      <c r="D232" s="148">
        <f>1.2+0.2+0.2</f>
        <v>1.5999999999999999</v>
      </c>
      <c r="E232" s="148">
        <v>0.15</v>
      </c>
      <c r="F232" s="148">
        <v>0.1</v>
      </c>
      <c r="G232" s="148">
        <v>4</v>
      </c>
      <c r="H232" s="148">
        <v>7</v>
      </c>
      <c r="I232" s="148"/>
      <c r="J232" s="170">
        <f t="shared" si="11"/>
        <v>0.67199999999999993</v>
      </c>
      <c r="K232" s="10"/>
      <c r="L232" s="10"/>
      <c r="M232" s="10"/>
      <c r="N232" s="10"/>
      <c r="O232" s="10"/>
      <c r="P232" s="10"/>
      <c r="Q232" s="10"/>
      <c r="R232" s="10"/>
      <c r="S232" s="10"/>
      <c r="T232" s="10"/>
      <c r="U232" s="10"/>
      <c r="V232" s="10"/>
      <c r="W232" s="10"/>
      <c r="X232" s="10"/>
      <c r="Y232" s="10"/>
    </row>
    <row r="233" spans="1:25" ht="16.5" customHeight="1" x14ac:dyDescent="0.2">
      <c r="A233" s="354"/>
      <c r="B233" s="355"/>
      <c r="C233" s="356"/>
      <c r="D233" s="148">
        <f>1.8+0.2+0.2</f>
        <v>2.2000000000000002</v>
      </c>
      <c r="E233" s="148">
        <v>0.15</v>
      </c>
      <c r="F233" s="148">
        <v>0.1</v>
      </c>
      <c r="G233" s="148">
        <v>1</v>
      </c>
      <c r="H233" s="148">
        <v>7</v>
      </c>
      <c r="I233" s="148"/>
      <c r="J233" s="170">
        <f t="shared" si="11"/>
        <v>0.23100000000000001</v>
      </c>
      <c r="K233" s="10"/>
      <c r="L233" s="10"/>
      <c r="M233" s="10"/>
      <c r="N233" s="10"/>
      <c r="O233" s="10"/>
      <c r="P233" s="10"/>
      <c r="Q233" s="10"/>
      <c r="R233" s="10"/>
      <c r="S233" s="10"/>
      <c r="T233" s="10"/>
      <c r="U233" s="10"/>
      <c r="V233" s="10"/>
      <c r="W233" s="10"/>
      <c r="X233" s="10"/>
      <c r="Y233" s="10"/>
    </row>
    <row r="234" spans="1:25" ht="16.5" customHeight="1" x14ac:dyDescent="0.2">
      <c r="A234" s="351" t="s">
        <v>676</v>
      </c>
      <c r="B234" s="352"/>
      <c r="C234" s="353"/>
      <c r="D234" s="148">
        <f>1.2+0.2+0.2</f>
        <v>1.5999999999999999</v>
      </c>
      <c r="E234" s="148">
        <v>0.15</v>
      </c>
      <c r="F234" s="148">
        <v>0.1</v>
      </c>
      <c r="G234" s="148">
        <v>4</v>
      </c>
      <c r="H234" s="148">
        <v>7</v>
      </c>
      <c r="I234" s="148"/>
      <c r="J234" s="170">
        <f t="shared" si="11"/>
        <v>0.67199999999999993</v>
      </c>
      <c r="K234" s="10"/>
      <c r="L234" s="10"/>
      <c r="M234" s="10"/>
      <c r="N234" s="10"/>
      <c r="O234" s="10"/>
      <c r="P234" s="10"/>
      <c r="Q234" s="10"/>
      <c r="R234" s="10"/>
      <c r="S234" s="10"/>
      <c r="T234" s="10"/>
      <c r="U234" s="10"/>
      <c r="V234" s="10"/>
      <c r="W234" s="10"/>
      <c r="X234" s="10"/>
      <c r="Y234" s="10"/>
    </row>
    <row r="235" spans="1:25" ht="16.5" customHeight="1" x14ac:dyDescent="0.2">
      <c r="A235" s="354"/>
      <c r="B235" s="355"/>
      <c r="C235" s="356"/>
      <c r="D235" s="148">
        <f>1.8+0.2+0.2</f>
        <v>2.2000000000000002</v>
      </c>
      <c r="E235" s="148">
        <v>0.15</v>
      </c>
      <c r="F235" s="148">
        <v>0.1</v>
      </c>
      <c r="G235" s="148">
        <v>1</v>
      </c>
      <c r="H235" s="148">
        <v>7</v>
      </c>
      <c r="I235" s="148"/>
      <c r="J235" s="170">
        <f t="shared" si="11"/>
        <v>0.23100000000000001</v>
      </c>
      <c r="K235" s="10"/>
      <c r="L235" s="10"/>
      <c r="M235" s="10"/>
      <c r="N235" s="10"/>
      <c r="O235" s="10"/>
      <c r="P235" s="10"/>
      <c r="Q235" s="10"/>
      <c r="R235" s="10"/>
      <c r="S235" s="10"/>
      <c r="T235" s="10"/>
      <c r="U235" s="10"/>
      <c r="V235" s="10"/>
      <c r="W235" s="10"/>
      <c r="X235" s="10"/>
      <c r="Y235" s="10"/>
    </row>
    <row r="236" spans="1:25" ht="16.5" customHeight="1" x14ac:dyDescent="0.2">
      <c r="A236" s="351" t="s">
        <v>677</v>
      </c>
      <c r="B236" s="352"/>
      <c r="C236" s="353"/>
      <c r="D236" s="148">
        <f>1.2+0.2+0.2</f>
        <v>1.5999999999999999</v>
      </c>
      <c r="E236" s="148">
        <v>0.15</v>
      </c>
      <c r="F236" s="148">
        <v>0.1</v>
      </c>
      <c r="G236" s="148">
        <v>4</v>
      </c>
      <c r="H236" s="148">
        <v>7</v>
      </c>
      <c r="I236" s="148"/>
      <c r="J236" s="170">
        <f t="shared" si="11"/>
        <v>0.67199999999999993</v>
      </c>
      <c r="K236" s="10"/>
      <c r="L236" s="10"/>
      <c r="M236" s="10"/>
      <c r="N236" s="10"/>
      <c r="O236" s="10"/>
      <c r="P236" s="10"/>
      <c r="Q236" s="10"/>
      <c r="R236" s="10"/>
      <c r="S236" s="10"/>
      <c r="T236" s="10"/>
      <c r="U236" s="10"/>
      <c r="V236" s="10"/>
      <c r="W236" s="10"/>
      <c r="X236" s="10"/>
      <c r="Y236" s="10"/>
    </row>
    <row r="237" spans="1:25" ht="16.5" customHeight="1" x14ac:dyDescent="0.2">
      <c r="A237" s="354"/>
      <c r="B237" s="355"/>
      <c r="C237" s="356"/>
      <c r="D237" s="148">
        <f>1.8+0.2+0.2</f>
        <v>2.2000000000000002</v>
      </c>
      <c r="E237" s="148">
        <v>0.15</v>
      </c>
      <c r="F237" s="148">
        <v>0.1</v>
      </c>
      <c r="G237" s="148">
        <v>1</v>
      </c>
      <c r="H237" s="148">
        <v>7</v>
      </c>
      <c r="I237" s="148"/>
      <c r="J237" s="170">
        <f t="shared" si="11"/>
        <v>0.23100000000000001</v>
      </c>
      <c r="K237" s="10"/>
      <c r="L237" s="10"/>
      <c r="M237" s="10"/>
      <c r="N237" s="10"/>
      <c r="O237" s="10"/>
      <c r="P237" s="10"/>
      <c r="Q237" s="10"/>
      <c r="R237" s="10"/>
      <c r="S237" s="10"/>
      <c r="T237" s="10"/>
      <c r="U237" s="10"/>
      <c r="V237" s="10"/>
      <c r="W237" s="10"/>
      <c r="X237" s="10"/>
      <c r="Y237" s="10"/>
    </row>
    <row r="238" spans="1:25" ht="16.5" customHeight="1" x14ac:dyDescent="0.2">
      <c r="A238" s="351" t="s">
        <v>678</v>
      </c>
      <c r="B238" s="352"/>
      <c r="C238" s="353"/>
      <c r="D238" s="148">
        <f>1.2+0.2+0.2</f>
        <v>1.5999999999999999</v>
      </c>
      <c r="E238" s="148">
        <v>0.15</v>
      </c>
      <c r="F238" s="148">
        <v>0.1</v>
      </c>
      <c r="G238" s="148">
        <v>4</v>
      </c>
      <c r="H238" s="148">
        <v>7</v>
      </c>
      <c r="I238" s="148"/>
      <c r="J238" s="170">
        <f t="shared" si="11"/>
        <v>0.67199999999999993</v>
      </c>
      <c r="K238" s="10"/>
      <c r="L238" s="10"/>
      <c r="M238" s="10"/>
      <c r="N238" s="10"/>
      <c r="O238" s="10"/>
      <c r="P238" s="10"/>
      <c r="Q238" s="10"/>
      <c r="R238" s="10"/>
      <c r="S238" s="10"/>
      <c r="T238" s="10"/>
      <c r="U238" s="10"/>
      <c r="V238" s="10"/>
      <c r="W238" s="10"/>
      <c r="X238" s="10"/>
      <c r="Y238" s="10"/>
    </row>
    <row r="239" spans="1:25" ht="16.5" customHeight="1" x14ac:dyDescent="0.2">
      <c r="A239" s="354"/>
      <c r="B239" s="355"/>
      <c r="C239" s="356"/>
      <c r="D239" s="148">
        <f>1.8+0.2+0.2</f>
        <v>2.2000000000000002</v>
      </c>
      <c r="E239" s="148">
        <v>0.15</v>
      </c>
      <c r="F239" s="148">
        <v>0.1</v>
      </c>
      <c r="G239" s="148">
        <v>1</v>
      </c>
      <c r="H239" s="148">
        <v>7</v>
      </c>
      <c r="I239" s="148"/>
      <c r="J239" s="170">
        <f t="shared" si="11"/>
        <v>0.23100000000000001</v>
      </c>
      <c r="K239" s="10"/>
      <c r="L239" s="10"/>
      <c r="M239" s="10"/>
      <c r="N239" s="10"/>
      <c r="O239" s="10"/>
      <c r="P239" s="10"/>
      <c r="Q239" s="10"/>
      <c r="R239" s="10"/>
      <c r="S239" s="10"/>
      <c r="T239" s="10"/>
      <c r="U239" s="10"/>
      <c r="V239" s="10"/>
      <c r="W239" s="10"/>
      <c r="X239" s="10"/>
      <c r="Y239" s="10"/>
    </row>
    <row r="240" spans="1:25" ht="16.5" customHeight="1" x14ac:dyDescent="0.2">
      <c r="A240" s="351" t="s">
        <v>679</v>
      </c>
      <c r="B240" s="352"/>
      <c r="C240" s="353"/>
      <c r="D240" s="148">
        <f>1.2+0.2+0.2</f>
        <v>1.5999999999999999</v>
      </c>
      <c r="E240" s="148">
        <v>0.15</v>
      </c>
      <c r="F240" s="148">
        <v>0.1</v>
      </c>
      <c r="G240" s="148">
        <v>4</v>
      </c>
      <c r="H240" s="148">
        <v>7</v>
      </c>
      <c r="I240" s="148"/>
      <c r="J240" s="170">
        <f t="shared" si="11"/>
        <v>0.67199999999999993</v>
      </c>
      <c r="K240" s="10"/>
      <c r="L240" s="10"/>
      <c r="M240" s="10"/>
      <c r="N240" s="10"/>
      <c r="O240" s="10"/>
      <c r="P240" s="10"/>
      <c r="Q240" s="10"/>
      <c r="R240" s="10"/>
      <c r="S240" s="10"/>
      <c r="T240" s="10"/>
      <c r="U240" s="10"/>
      <c r="V240" s="10"/>
      <c r="W240" s="10"/>
      <c r="X240" s="10"/>
      <c r="Y240" s="10"/>
    </row>
    <row r="241" spans="1:25" ht="16.5" customHeight="1" x14ac:dyDescent="0.2">
      <c r="A241" s="354"/>
      <c r="B241" s="355"/>
      <c r="C241" s="356"/>
      <c r="D241" s="148">
        <f>1.8+0.2+0.2</f>
        <v>2.2000000000000002</v>
      </c>
      <c r="E241" s="148">
        <v>0.15</v>
      </c>
      <c r="F241" s="148">
        <v>0.1</v>
      </c>
      <c r="G241" s="148">
        <v>1</v>
      </c>
      <c r="H241" s="148">
        <v>7</v>
      </c>
      <c r="I241" s="148"/>
      <c r="J241" s="170">
        <f t="shared" si="11"/>
        <v>0.23100000000000001</v>
      </c>
      <c r="K241" s="10"/>
      <c r="L241" s="10"/>
      <c r="M241" s="10"/>
      <c r="N241" s="10"/>
      <c r="O241" s="10"/>
      <c r="P241" s="10"/>
      <c r="Q241" s="10"/>
      <c r="R241" s="10"/>
      <c r="S241" s="10"/>
      <c r="T241" s="10"/>
      <c r="U241" s="10"/>
      <c r="V241" s="10"/>
      <c r="W241" s="10"/>
      <c r="X241" s="10"/>
      <c r="Y241" s="10"/>
    </row>
    <row r="242" spans="1:25" ht="16.5" customHeight="1" x14ac:dyDescent="0.2">
      <c r="A242" s="351" t="s">
        <v>680</v>
      </c>
      <c r="B242" s="352"/>
      <c r="C242" s="353"/>
      <c r="D242" s="148">
        <f>1.2+0.2+0.2</f>
        <v>1.5999999999999999</v>
      </c>
      <c r="E242" s="148">
        <v>0.15</v>
      </c>
      <c r="F242" s="148">
        <v>0.1</v>
      </c>
      <c r="G242" s="148">
        <v>4</v>
      </c>
      <c r="H242" s="148">
        <v>7</v>
      </c>
      <c r="I242" s="148"/>
      <c r="J242" s="170">
        <f t="shared" si="11"/>
        <v>0.67199999999999993</v>
      </c>
      <c r="K242" s="10"/>
      <c r="L242" s="10"/>
      <c r="M242" s="10"/>
      <c r="N242" s="10"/>
      <c r="O242" s="10"/>
      <c r="P242" s="10"/>
      <c r="Q242" s="10"/>
      <c r="R242" s="10"/>
      <c r="S242" s="10"/>
      <c r="T242" s="10"/>
      <c r="U242" s="10"/>
      <c r="V242" s="10"/>
      <c r="W242" s="10"/>
      <c r="X242" s="10"/>
      <c r="Y242" s="10"/>
    </row>
    <row r="243" spans="1:25" ht="16.5" customHeight="1" x14ac:dyDescent="0.2">
      <c r="A243" s="354"/>
      <c r="B243" s="355"/>
      <c r="C243" s="356"/>
      <c r="D243" s="148">
        <f>1.8+0.2+0.2</f>
        <v>2.2000000000000002</v>
      </c>
      <c r="E243" s="148">
        <v>0.15</v>
      </c>
      <c r="F243" s="148">
        <v>0.1</v>
      </c>
      <c r="G243" s="148">
        <v>1</v>
      </c>
      <c r="H243" s="148">
        <v>7</v>
      </c>
      <c r="I243" s="148"/>
      <c r="J243" s="170">
        <f t="shared" si="11"/>
        <v>0.23100000000000001</v>
      </c>
      <c r="K243" s="10"/>
      <c r="L243" s="10"/>
      <c r="M243" s="10"/>
      <c r="N243" s="10"/>
      <c r="O243" s="10"/>
      <c r="P243" s="10"/>
      <c r="Q243" s="10"/>
      <c r="R243" s="10"/>
      <c r="S243" s="10"/>
      <c r="T243" s="10"/>
      <c r="U243" s="10"/>
      <c r="V243" s="10"/>
      <c r="W243" s="10"/>
      <c r="X243" s="10"/>
      <c r="Y243" s="10"/>
    </row>
    <row r="244" spans="1:25" ht="16.5" customHeight="1" x14ac:dyDescent="0.2">
      <c r="A244" s="351" t="s">
        <v>681</v>
      </c>
      <c r="B244" s="352"/>
      <c r="C244" s="353"/>
      <c r="D244" s="148">
        <f>1.2+0.2+0.2</f>
        <v>1.5999999999999999</v>
      </c>
      <c r="E244" s="148">
        <v>0.15</v>
      </c>
      <c r="F244" s="148">
        <v>0.1</v>
      </c>
      <c r="G244" s="148">
        <v>4</v>
      </c>
      <c r="H244" s="148">
        <v>7</v>
      </c>
      <c r="I244" s="148"/>
      <c r="J244" s="170">
        <f t="shared" si="11"/>
        <v>0.67199999999999993</v>
      </c>
      <c r="K244" s="10"/>
      <c r="L244" s="10"/>
      <c r="M244" s="10"/>
      <c r="N244" s="10"/>
      <c r="O244" s="10"/>
      <c r="P244" s="10"/>
      <c r="Q244" s="10"/>
      <c r="R244" s="10"/>
      <c r="S244" s="10"/>
      <c r="T244" s="10"/>
      <c r="U244" s="10"/>
      <c r="V244" s="10"/>
      <c r="W244" s="10"/>
      <c r="X244" s="10"/>
      <c r="Y244" s="10"/>
    </row>
    <row r="245" spans="1:25" ht="16.5" customHeight="1" x14ac:dyDescent="0.2">
      <c r="A245" s="354"/>
      <c r="B245" s="355"/>
      <c r="C245" s="356"/>
      <c r="D245" s="148">
        <f>1.8+0.2+0.2</f>
        <v>2.2000000000000002</v>
      </c>
      <c r="E245" s="148">
        <v>0.15</v>
      </c>
      <c r="F245" s="148">
        <v>0.1</v>
      </c>
      <c r="G245" s="148">
        <v>1</v>
      </c>
      <c r="H245" s="148">
        <v>7</v>
      </c>
      <c r="I245" s="148"/>
      <c r="J245" s="170">
        <f t="shared" si="11"/>
        <v>0.23100000000000001</v>
      </c>
      <c r="K245" s="10"/>
      <c r="L245" s="10"/>
      <c r="M245" s="10"/>
      <c r="N245" s="10"/>
      <c r="O245" s="10"/>
      <c r="P245" s="10"/>
      <c r="Q245" s="10"/>
      <c r="R245" s="10"/>
      <c r="S245" s="10"/>
      <c r="T245" s="10"/>
      <c r="U245" s="10"/>
      <c r="V245" s="10"/>
      <c r="W245" s="10"/>
      <c r="X245" s="10"/>
      <c r="Y245" s="10"/>
    </row>
    <row r="246" spans="1:25" ht="16.5" customHeight="1" x14ac:dyDescent="0.2">
      <c r="A246" s="351" t="s">
        <v>682</v>
      </c>
      <c r="B246" s="352"/>
      <c r="C246" s="353"/>
      <c r="D246" s="148">
        <f>1.2+0.2+0.2</f>
        <v>1.5999999999999999</v>
      </c>
      <c r="E246" s="148">
        <v>0.15</v>
      </c>
      <c r="F246" s="148">
        <v>0.1</v>
      </c>
      <c r="G246" s="148">
        <v>4</v>
      </c>
      <c r="H246" s="148">
        <v>7</v>
      </c>
      <c r="I246" s="148"/>
      <c r="J246" s="170">
        <f t="shared" si="11"/>
        <v>0.67199999999999993</v>
      </c>
      <c r="K246" s="10"/>
      <c r="L246" s="10"/>
      <c r="M246" s="10"/>
      <c r="N246" s="10"/>
      <c r="O246" s="10"/>
      <c r="P246" s="10"/>
      <c r="Q246" s="10"/>
      <c r="R246" s="10"/>
      <c r="S246" s="10"/>
      <c r="T246" s="10"/>
      <c r="U246" s="10"/>
      <c r="V246" s="10"/>
      <c r="W246" s="10"/>
      <c r="X246" s="10"/>
      <c r="Y246" s="10"/>
    </row>
    <row r="247" spans="1:25" ht="16.5" customHeight="1" x14ac:dyDescent="0.2">
      <c r="A247" s="354"/>
      <c r="B247" s="355"/>
      <c r="C247" s="356"/>
      <c r="D247" s="148">
        <f>1.8+0.2+0.2</f>
        <v>2.2000000000000002</v>
      </c>
      <c r="E247" s="148">
        <v>0.15</v>
      </c>
      <c r="F247" s="148">
        <v>0.1</v>
      </c>
      <c r="G247" s="148">
        <v>1</v>
      </c>
      <c r="H247" s="148">
        <v>7</v>
      </c>
      <c r="I247" s="148"/>
      <c r="J247" s="170">
        <f t="shared" si="11"/>
        <v>0.23100000000000001</v>
      </c>
      <c r="K247" s="10"/>
      <c r="L247" s="10"/>
      <c r="M247" s="10"/>
      <c r="N247" s="10"/>
      <c r="O247" s="10"/>
      <c r="P247" s="10"/>
      <c r="Q247" s="10"/>
      <c r="R247" s="10"/>
      <c r="S247" s="10"/>
      <c r="T247" s="10"/>
      <c r="U247" s="10"/>
      <c r="V247" s="10"/>
      <c r="W247" s="10"/>
      <c r="X247" s="10"/>
      <c r="Y247" s="10"/>
    </row>
    <row r="248" spans="1:25" ht="16.5" customHeight="1" x14ac:dyDescent="0.2">
      <c r="A248" s="351" t="s">
        <v>683</v>
      </c>
      <c r="B248" s="352"/>
      <c r="C248" s="353"/>
      <c r="D248" s="148">
        <f>1.2+0.2+0.2</f>
        <v>1.5999999999999999</v>
      </c>
      <c r="E248" s="148">
        <v>0.15</v>
      </c>
      <c r="F248" s="148">
        <v>0.1</v>
      </c>
      <c r="G248" s="148">
        <v>4</v>
      </c>
      <c r="H248" s="148">
        <v>7</v>
      </c>
      <c r="I248" s="148"/>
      <c r="J248" s="170">
        <f t="shared" si="11"/>
        <v>0.67199999999999993</v>
      </c>
      <c r="K248" s="10"/>
      <c r="L248" s="10"/>
      <c r="M248" s="10"/>
      <c r="N248" s="10"/>
      <c r="O248" s="10"/>
      <c r="P248" s="10"/>
      <c r="Q248" s="10"/>
      <c r="R248" s="10"/>
      <c r="S248" s="10"/>
      <c r="T248" s="10"/>
      <c r="U248" s="10"/>
      <c r="V248" s="10"/>
      <c r="W248" s="10"/>
      <c r="X248" s="10"/>
      <c r="Y248" s="10"/>
    </row>
    <row r="249" spans="1:25" ht="16.5" customHeight="1" x14ac:dyDescent="0.2">
      <c r="A249" s="354"/>
      <c r="B249" s="355"/>
      <c r="C249" s="356"/>
      <c r="D249" s="148">
        <f>1.8+0.2+0.2</f>
        <v>2.2000000000000002</v>
      </c>
      <c r="E249" s="148">
        <v>0.15</v>
      </c>
      <c r="F249" s="148">
        <v>0.1</v>
      </c>
      <c r="G249" s="148">
        <v>1</v>
      </c>
      <c r="H249" s="148">
        <v>7</v>
      </c>
      <c r="I249" s="148"/>
      <c r="J249" s="170">
        <f t="shared" si="11"/>
        <v>0.23100000000000001</v>
      </c>
      <c r="K249" s="10"/>
      <c r="L249" s="10"/>
      <c r="M249" s="10"/>
      <c r="N249" s="10"/>
      <c r="O249" s="10"/>
      <c r="P249" s="10"/>
      <c r="Q249" s="10"/>
      <c r="R249" s="10"/>
      <c r="S249" s="10"/>
      <c r="T249" s="10"/>
      <c r="U249" s="10"/>
      <c r="V249" s="10"/>
      <c r="W249" s="10"/>
      <c r="X249" s="10"/>
      <c r="Y249" s="10"/>
    </row>
    <row r="250" spans="1:25" ht="16.5" customHeight="1" x14ac:dyDescent="0.2">
      <c r="A250" s="351" t="s">
        <v>684</v>
      </c>
      <c r="B250" s="352"/>
      <c r="C250" s="353"/>
      <c r="D250" s="148">
        <f>1.2+0.2+0.2</f>
        <v>1.5999999999999999</v>
      </c>
      <c r="E250" s="148">
        <v>0.15</v>
      </c>
      <c r="F250" s="148">
        <v>0.1</v>
      </c>
      <c r="G250" s="148">
        <v>4</v>
      </c>
      <c r="H250" s="148">
        <v>7</v>
      </c>
      <c r="I250" s="148"/>
      <c r="J250" s="170">
        <f t="shared" si="11"/>
        <v>0.67199999999999993</v>
      </c>
      <c r="K250" s="10"/>
      <c r="L250" s="10"/>
      <c r="M250" s="10"/>
      <c r="N250" s="10"/>
      <c r="O250" s="10"/>
      <c r="P250" s="10"/>
      <c r="Q250" s="10"/>
      <c r="R250" s="10"/>
      <c r="S250" s="10"/>
      <c r="T250" s="10"/>
      <c r="U250" s="10"/>
      <c r="V250" s="10"/>
      <c r="W250" s="10"/>
      <c r="X250" s="10"/>
      <c r="Y250" s="10"/>
    </row>
    <row r="251" spans="1:25" ht="16.5" customHeight="1" x14ac:dyDescent="0.2">
      <c r="A251" s="354"/>
      <c r="B251" s="355"/>
      <c r="C251" s="356"/>
      <c r="D251" s="148">
        <f>1.8+0.2+0.2</f>
        <v>2.2000000000000002</v>
      </c>
      <c r="E251" s="148">
        <v>0.15</v>
      </c>
      <c r="F251" s="148">
        <v>0.1</v>
      </c>
      <c r="G251" s="148">
        <v>1</v>
      </c>
      <c r="H251" s="148">
        <v>7</v>
      </c>
      <c r="I251" s="148"/>
      <c r="J251" s="170">
        <f t="shared" si="11"/>
        <v>0.23100000000000001</v>
      </c>
      <c r="K251" s="10"/>
      <c r="L251" s="10"/>
      <c r="M251" s="10"/>
      <c r="N251" s="10"/>
      <c r="O251" s="10"/>
      <c r="P251" s="10"/>
      <c r="Q251" s="10"/>
      <c r="R251" s="10"/>
      <c r="S251" s="10"/>
      <c r="T251" s="10"/>
      <c r="U251" s="10"/>
      <c r="V251" s="10"/>
      <c r="W251" s="10"/>
      <c r="X251" s="10"/>
      <c r="Y251" s="10"/>
    </row>
    <row r="252" spans="1:25" ht="16.5" customHeight="1" x14ac:dyDescent="0.2">
      <c r="A252" s="351" t="s">
        <v>685</v>
      </c>
      <c r="B252" s="352"/>
      <c r="C252" s="353"/>
      <c r="D252" s="148">
        <f>1.2+0.2+0.2</f>
        <v>1.5999999999999999</v>
      </c>
      <c r="E252" s="148">
        <v>0.15</v>
      </c>
      <c r="F252" s="148">
        <v>0.1</v>
      </c>
      <c r="G252" s="148">
        <v>4</v>
      </c>
      <c r="H252" s="148">
        <v>7</v>
      </c>
      <c r="I252" s="148"/>
      <c r="J252" s="170">
        <f t="shared" si="11"/>
        <v>0.67199999999999993</v>
      </c>
      <c r="K252" s="10"/>
      <c r="L252" s="10"/>
      <c r="M252" s="10"/>
      <c r="N252" s="10"/>
      <c r="O252" s="10"/>
      <c r="P252" s="10"/>
      <c r="Q252" s="10"/>
      <c r="R252" s="10"/>
      <c r="S252" s="10"/>
      <c r="T252" s="10"/>
      <c r="U252" s="10"/>
      <c r="V252" s="10"/>
      <c r="W252" s="10"/>
      <c r="X252" s="10"/>
      <c r="Y252" s="10"/>
    </row>
    <row r="253" spans="1:25" ht="16.5" customHeight="1" x14ac:dyDescent="0.2">
      <c r="A253" s="354"/>
      <c r="B253" s="355"/>
      <c r="C253" s="356"/>
      <c r="D253" s="148">
        <f>1.8+0.2+0.2</f>
        <v>2.2000000000000002</v>
      </c>
      <c r="E253" s="148">
        <v>0.15</v>
      </c>
      <c r="F253" s="148">
        <v>0.1</v>
      </c>
      <c r="G253" s="148">
        <v>1</v>
      </c>
      <c r="H253" s="148">
        <v>7</v>
      </c>
      <c r="I253" s="148"/>
      <c r="J253" s="170">
        <f t="shared" si="11"/>
        <v>0.23100000000000001</v>
      </c>
      <c r="K253" s="10"/>
      <c r="L253" s="10"/>
      <c r="M253" s="10"/>
      <c r="N253" s="10"/>
      <c r="O253" s="10"/>
      <c r="P253" s="10"/>
      <c r="Q253" s="10"/>
      <c r="R253" s="10"/>
      <c r="S253" s="10"/>
      <c r="T253" s="10"/>
      <c r="U253" s="10"/>
      <c r="V253" s="10"/>
      <c r="W253" s="10"/>
      <c r="X253" s="10"/>
      <c r="Y253" s="10"/>
    </row>
    <row r="254" spans="1:25" ht="16.5" customHeight="1" x14ac:dyDescent="0.2">
      <c r="A254" s="351" t="s">
        <v>686</v>
      </c>
      <c r="B254" s="352"/>
      <c r="C254" s="353"/>
      <c r="D254" s="148">
        <f>1.2+0.2+0.2</f>
        <v>1.5999999999999999</v>
      </c>
      <c r="E254" s="148">
        <v>0.15</v>
      </c>
      <c r="F254" s="148">
        <v>0.1</v>
      </c>
      <c r="G254" s="148">
        <v>4</v>
      </c>
      <c r="H254" s="148">
        <v>7</v>
      </c>
      <c r="I254" s="148"/>
      <c r="J254" s="170">
        <f t="shared" si="11"/>
        <v>0.67199999999999993</v>
      </c>
      <c r="K254" s="10"/>
      <c r="L254" s="10"/>
      <c r="M254" s="10"/>
      <c r="N254" s="10"/>
      <c r="O254" s="10"/>
      <c r="P254" s="10"/>
      <c r="Q254" s="10"/>
      <c r="R254" s="10"/>
      <c r="S254" s="10"/>
      <c r="T254" s="10"/>
      <c r="U254" s="10"/>
      <c r="V254" s="10"/>
      <c r="W254" s="10"/>
      <c r="X254" s="10"/>
      <c r="Y254" s="10"/>
    </row>
    <row r="255" spans="1:25" ht="16.5" customHeight="1" x14ac:dyDescent="0.2">
      <c r="A255" s="354"/>
      <c r="B255" s="355"/>
      <c r="C255" s="356"/>
      <c r="D255" s="148">
        <f>1.8+0.2+0.2</f>
        <v>2.2000000000000002</v>
      </c>
      <c r="E255" s="148">
        <v>0.15</v>
      </c>
      <c r="F255" s="148">
        <v>0.1</v>
      </c>
      <c r="G255" s="148">
        <v>1</v>
      </c>
      <c r="H255" s="148">
        <v>7</v>
      </c>
      <c r="I255" s="148"/>
      <c r="J255" s="170">
        <f t="shared" si="11"/>
        <v>0.23100000000000001</v>
      </c>
      <c r="K255" s="10"/>
      <c r="L255" s="10"/>
      <c r="M255" s="10"/>
      <c r="N255" s="10"/>
      <c r="O255" s="10"/>
      <c r="P255" s="10"/>
      <c r="Q255" s="10"/>
      <c r="R255" s="10"/>
      <c r="S255" s="10"/>
      <c r="T255" s="10"/>
      <c r="U255" s="10"/>
      <c r="V255" s="10"/>
      <c r="W255" s="10"/>
      <c r="X255" s="10"/>
      <c r="Y255" s="10"/>
    </row>
    <row r="256" spans="1:25" ht="16.5" customHeight="1" x14ac:dyDescent="0.2">
      <c r="A256" s="342" t="str">
        <f>"TOTAL - "&amp;'Planilha orçamentária'!F40</f>
        <v>TOTAL - M3</v>
      </c>
      <c r="B256" s="342"/>
      <c r="C256" s="342"/>
      <c r="D256" s="342"/>
      <c r="E256" s="342"/>
      <c r="F256" s="342"/>
      <c r="G256" s="342"/>
      <c r="H256" s="342"/>
      <c r="I256" s="342"/>
      <c r="J256" s="149">
        <f>SUM(J224:J255)</f>
        <v>14.448</v>
      </c>
      <c r="K256" s="10"/>
      <c r="L256" s="10"/>
      <c r="M256" s="10"/>
      <c r="N256" s="10"/>
      <c r="O256" s="10"/>
      <c r="P256" s="10"/>
      <c r="Q256" s="10"/>
      <c r="R256" s="10"/>
      <c r="S256" s="10"/>
      <c r="T256" s="10"/>
      <c r="U256" s="10"/>
      <c r="V256" s="10"/>
      <c r="W256" s="10"/>
      <c r="X256" s="10"/>
      <c r="Y256" s="10"/>
    </row>
    <row r="257" spans="1:25" ht="16.5" customHeight="1" x14ac:dyDescent="0.2">
      <c r="A257" s="184" t="str">
        <f>'Planilha orçamentária'!A41</f>
        <v>6.11</v>
      </c>
      <c r="B257" s="424" t="str">
        <f>'Planilha orçamentária'!D41</f>
        <v>Pintura com emulsão asfáltica, duas (2) demãos</v>
      </c>
      <c r="C257" s="425"/>
      <c r="D257" s="425"/>
      <c r="E257" s="425"/>
      <c r="F257" s="425"/>
      <c r="G257" s="425"/>
      <c r="H257" s="425"/>
      <c r="I257" s="425"/>
      <c r="J257" s="426"/>
      <c r="K257" s="10"/>
      <c r="L257" s="10"/>
      <c r="M257" s="10"/>
      <c r="N257" s="10"/>
      <c r="O257" s="10"/>
      <c r="P257" s="10"/>
      <c r="Q257" s="10"/>
      <c r="R257" s="10"/>
      <c r="S257" s="10"/>
      <c r="T257" s="10"/>
      <c r="U257" s="10"/>
      <c r="V257" s="10"/>
      <c r="W257" s="10"/>
      <c r="X257" s="10"/>
      <c r="Y257" s="10"/>
    </row>
    <row r="258" spans="1:25" ht="16.5" customHeight="1" x14ac:dyDescent="0.2">
      <c r="A258" s="333" t="s">
        <v>120</v>
      </c>
      <c r="B258" s="334"/>
      <c r="C258" s="335"/>
      <c r="D258" s="182" t="s">
        <v>121</v>
      </c>
      <c r="E258" s="182" t="s">
        <v>122</v>
      </c>
      <c r="F258" s="182" t="s">
        <v>123</v>
      </c>
      <c r="G258" s="181" t="s">
        <v>124</v>
      </c>
      <c r="H258" s="181" t="s">
        <v>470</v>
      </c>
      <c r="I258" s="182" t="s">
        <v>126</v>
      </c>
      <c r="J258" s="182" t="s">
        <v>113</v>
      </c>
      <c r="K258" s="10"/>
      <c r="L258" s="10"/>
      <c r="M258" s="10"/>
      <c r="N258" s="10"/>
      <c r="O258" s="10"/>
      <c r="P258" s="10"/>
      <c r="Q258" s="10"/>
      <c r="R258" s="10"/>
      <c r="S258" s="10"/>
      <c r="T258" s="10"/>
      <c r="U258" s="10"/>
      <c r="V258" s="10"/>
      <c r="W258" s="10"/>
      <c r="X258" s="10"/>
      <c r="Y258" s="10"/>
    </row>
    <row r="259" spans="1:25" ht="16.5" customHeight="1" x14ac:dyDescent="0.2">
      <c r="A259" s="339" t="s">
        <v>689</v>
      </c>
      <c r="B259" s="340"/>
      <c r="C259" s="341"/>
      <c r="D259" s="148">
        <v>4.6900000000000004</v>
      </c>
      <c r="E259" s="148">
        <v>0.15</v>
      </c>
      <c r="F259" s="148">
        <v>0.4</v>
      </c>
      <c r="G259" s="148">
        <v>7</v>
      </c>
      <c r="H259" s="148">
        <f>ROUND(D259*(E259+F259*2),2)</f>
        <v>4.46</v>
      </c>
      <c r="I259" s="148"/>
      <c r="J259" s="170">
        <f>H259*G259</f>
        <v>31.22</v>
      </c>
      <c r="K259" s="10"/>
      <c r="L259" s="10"/>
      <c r="M259" s="10"/>
      <c r="N259" s="10"/>
      <c r="O259" s="10"/>
      <c r="P259" s="10"/>
      <c r="Q259" s="10"/>
      <c r="R259" s="10"/>
      <c r="S259" s="10"/>
      <c r="T259" s="10"/>
      <c r="U259" s="10"/>
      <c r="V259" s="10"/>
      <c r="W259" s="10"/>
      <c r="X259" s="10"/>
      <c r="Y259" s="10"/>
    </row>
    <row r="260" spans="1:25" s="166" customFormat="1" ht="16.5" customHeight="1" x14ac:dyDescent="0.2">
      <c r="A260" s="339" t="s">
        <v>690</v>
      </c>
      <c r="B260" s="340"/>
      <c r="C260" s="341"/>
      <c r="D260" s="148">
        <v>4.6900000000000004</v>
      </c>
      <c r="E260" s="148">
        <v>0.15</v>
      </c>
      <c r="F260" s="148">
        <v>0.4</v>
      </c>
      <c r="G260" s="148">
        <v>7</v>
      </c>
      <c r="H260" s="148">
        <f t="shared" ref="H260:H293" si="12">ROUND(D260*(E260+F260*2),2)</f>
        <v>4.46</v>
      </c>
      <c r="I260" s="148"/>
      <c r="J260" s="170">
        <f t="shared" ref="J260:J294" si="13">H260*G260</f>
        <v>31.22</v>
      </c>
      <c r="K260" s="10"/>
      <c r="L260" s="10"/>
      <c r="M260" s="10"/>
      <c r="N260" s="10"/>
      <c r="O260" s="10"/>
      <c r="P260" s="10"/>
      <c r="Q260" s="10"/>
      <c r="R260" s="10"/>
      <c r="S260" s="10"/>
      <c r="T260" s="10"/>
      <c r="U260" s="10"/>
      <c r="V260" s="10"/>
      <c r="W260" s="10"/>
      <c r="X260" s="10"/>
      <c r="Y260" s="10"/>
    </row>
    <row r="261" spans="1:25" s="166" customFormat="1" ht="16.5" customHeight="1" x14ac:dyDescent="0.2">
      <c r="A261" s="339" t="s">
        <v>691</v>
      </c>
      <c r="B261" s="340"/>
      <c r="C261" s="341"/>
      <c r="D261" s="148">
        <v>4.6900000000000004</v>
      </c>
      <c r="E261" s="148">
        <v>0.15</v>
      </c>
      <c r="F261" s="148">
        <v>0.4</v>
      </c>
      <c r="G261" s="148">
        <v>7</v>
      </c>
      <c r="H261" s="148">
        <f t="shared" si="12"/>
        <v>4.46</v>
      </c>
      <c r="I261" s="148"/>
      <c r="J261" s="170">
        <f t="shared" si="13"/>
        <v>31.22</v>
      </c>
      <c r="K261" s="10"/>
      <c r="L261" s="10"/>
      <c r="M261" s="10"/>
      <c r="N261" s="10"/>
      <c r="O261" s="10"/>
      <c r="P261" s="10"/>
      <c r="Q261" s="10"/>
      <c r="R261" s="10"/>
      <c r="S261" s="10"/>
      <c r="T261" s="10"/>
      <c r="U261" s="10"/>
      <c r="V261" s="10"/>
      <c r="W261" s="10"/>
      <c r="X261" s="10"/>
      <c r="Y261" s="10"/>
    </row>
    <row r="262" spans="1:25" s="166" customFormat="1" ht="16.5" customHeight="1" x14ac:dyDescent="0.2">
      <c r="A262" s="339" t="s">
        <v>692</v>
      </c>
      <c r="B262" s="340"/>
      <c r="C262" s="341"/>
      <c r="D262" s="148">
        <v>4.6900000000000004</v>
      </c>
      <c r="E262" s="148">
        <v>0.15</v>
      </c>
      <c r="F262" s="148">
        <v>0.4</v>
      </c>
      <c r="G262" s="148">
        <v>7</v>
      </c>
      <c r="H262" s="148">
        <f t="shared" si="12"/>
        <v>4.46</v>
      </c>
      <c r="I262" s="148"/>
      <c r="J262" s="170">
        <f t="shared" si="13"/>
        <v>31.22</v>
      </c>
      <c r="K262" s="10"/>
      <c r="L262" s="10"/>
      <c r="M262" s="10"/>
      <c r="N262" s="10"/>
      <c r="O262" s="10"/>
      <c r="P262" s="10"/>
      <c r="Q262" s="10"/>
      <c r="R262" s="10"/>
      <c r="S262" s="10"/>
      <c r="T262" s="10"/>
      <c r="U262" s="10"/>
      <c r="V262" s="10"/>
      <c r="W262" s="10"/>
      <c r="X262" s="10"/>
      <c r="Y262" s="10"/>
    </row>
    <row r="263" spans="1:25" s="166" customFormat="1" ht="16.5" customHeight="1" x14ac:dyDescent="0.2">
      <c r="A263" s="339" t="s">
        <v>693</v>
      </c>
      <c r="B263" s="340"/>
      <c r="C263" s="341"/>
      <c r="D263" s="148">
        <v>0.93</v>
      </c>
      <c r="E263" s="148">
        <v>0.15</v>
      </c>
      <c r="F263" s="148">
        <v>0.4</v>
      </c>
      <c r="G263" s="148">
        <v>7</v>
      </c>
      <c r="H263" s="148">
        <f t="shared" si="12"/>
        <v>0.88</v>
      </c>
      <c r="I263" s="148"/>
      <c r="J263" s="170">
        <f t="shared" si="13"/>
        <v>6.16</v>
      </c>
      <c r="K263" s="10"/>
      <c r="L263" s="10"/>
      <c r="M263" s="10"/>
      <c r="N263" s="10"/>
      <c r="O263" s="10"/>
      <c r="P263" s="10"/>
      <c r="Q263" s="10"/>
      <c r="R263" s="10"/>
      <c r="S263" s="10"/>
      <c r="T263" s="10"/>
      <c r="U263" s="10"/>
      <c r="V263" s="10"/>
      <c r="W263" s="10"/>
      <c r="X263" s="10"/>
      <c r="Y263" s="10"/>
    </row>
    <row r="264" spans="1:25" s="166" customFormat="1" ht="16.5" customHeight="1" x14ac:dyDescent="0.2">
      <c r="A264" s="339" t="s">
        <v>694</v>
      </c>
      <c r="B264" s="340"/>
      <c r="C264" s="341"/>
      <c r="D264" s="148">
        <v>0.93</v>
      </c>
      <c r="E264" s="148">
        <v>0.15</v>
      </c>
      <c r="F264" s="148">
        <v>0.4</v>
      </c>
      <c r="G264" s="148">
        <v>7</v>
      </c>
      <c r="H264" s="148">
        <f t="shared" si="12"/>
        <v>0.88</v>
      </c>
      <c r="I264" s="148"/>
      <c r="J264" s="170">
        <f t="shared" si="13"/>
        <v>6.16</v>
      </c>
      <c r="K264" s="10"/>
      <c r="L264" s="10"/>
      <c r="M264" s="10"/>
      <c r="N264" s="10"/>
      <c r="O264" s="10"/>
      <c r="P264" s="10"/>
      <c r="Q264" s="10"/>
      <c r="R264" s="10"/>
      <c r="S264" s="10"/>
      <c r="T264" s="10"/>
      <c r="U264" s="10"/>
      <c r="V264" s="10"/>
      <c r="W264" s="10"/>
      <c r="X264" s="10"/>
      <c r="Y264" s="10"/>
    </row>
    <row r="265" spans="1:25" s="166" customFormat="1" ht="16.5" customHeight="1" x14ac:dyDescent="0.2">
      <c r="A265" s="339" t="s">
        <v>695</v>
      </c>
      <c r="B265" s="340"/>
      <c r="C265" s="341"/>
      <c r="D265" s="148">
        <v>3.9</v>
      </c>
      <c r="E265" s="148">
        <v>0.15</v>
      </c>
      <c r="F265" s="148">
        <v>0.4</v>
      </c>
      <c r="G265" s="148">
        <v>7</v>
      </c>
      <c r="H265" s="148">
        <f t="shared" si="12"/>
        <v>3.71</v>
      </c>
      <c r="I265" s="148"/>
      <c r="J265" s="170">
        <f t="shared" si="13"/>
        <v>25.97</v>
      </c>
      <c r="K265" s="10"/>
      <c r="L265" s="10"/>
      <c r="M265" s="10"/>
      <c r="N265" s="10"/>
      <c r="O265" s="10"/>
      <c r="P265" s="10"/>
      <c r="Q265" s="10"/>
      <c r="R265" s="10"/>
      <c r="S265" s="10"/>
      <c r="T265" s="10"/>
      <c r="U265" s="10"/>
      <c r="V265" s="10"/>
      <c r="W265" s="10"/>
      <c r="X265" s="10"/>
      <c r="Y265" s="10"/>
    </row>
    <row r="266" spans="1:25" s="166" customFormat="1" ht="16.5" customHeight="1" x14ac:dyDescent="0.2">
      <c r="A266" s="339" t="s">
        <v>696</v>
      </c>
      <c r="B266" s="340"/>
      <c r="C266" s="341"/>
      <c r="D266" s="148">
        <v>2.62</v>
      </c>
      <c r="E266" s="148">
        <v>0.15</v>
      </c>
      <c r="F266" s="148">
        <v>0.4</v>
      </c>
      <c r="G266" s="148">
        <v>7</v>
      </c>
      <c r="H266" s="148">
        <f t="shared" si="12"/>
        <v>2.4900000000000002</v>
      </c>
      <c r="I266" s="148"/>
      <c r="J266" s="170">
        <f t="shared" si="13"/>
        <v>17.43</v>
      </c>
      <c r="K266" s="10"/>
      <c r="L266" s="10"/>
      <c r="M266" s="10"/>
      <c r="N266" s="10"/>
      <c r="O266" s="10"/>
      <c r="P266" s="10"/>
      <c r="Q266" s="10"/>
      <c r="R266" s="10"/>
      <c r="S266" s="10"/>
      <c r="T266" s="10"/>
      <c r="U266" s="10"/>
      <c r="V266" s="10"/>
      <c r="W266" s="10"/>
      <c r="X266" s="10"/>
      <c r="Y266" s="10"/>
    </row>
    <row r="267" spans="1:25" s="166" customFormat="1" ht="16.5" customHeight="1" x14ac:dyDescent="0.2">
      <c r="A267" s="339" t="s">
        <v>697</v>
      </c>
      <c r="B267" s="340"/>
      <c r="C267" s="341"/>
      <c r="D267" s="148">
        <v>2.62</v>
      </c>
      <c r="E267" s="148">
        <v>0.15</v>
      </c>
      <c r="F267" s="148">
        <v>0.4</v>
      </c>
      <c r="G267" s="148">
        <v>7</v>
      </c>
      <c r="H267" s="148">
        <f t="shared" si="12"/>
        <v>2.4900000000000002</v>
      </c>
      <c r="I267" s="148"/>
      <c r="J267" s="170">
        <f t="shared" si="13"/>
        <v>17.43</v>
      </c>
      <c r="K267" s="10"/>
      <c r="L267" s="10"/>
      <c r="M267" s="10"/>
      <c r="N267" s="10"/>
      <c r="O267" s="10"/>
      <c r="P267" s="10"/>
      <c r="Q267" s="10"/>
      <c r="R267" s="10"/>
      <c r="S267" s="10"/>
      <c r="T267" s="10"/>
      <c r="U267" s="10"/>
      <c r="V267" s="10"/>
      <c r="W267" s="10"/>
      <c r="X267" s="10"/>
      <c r="Y267" s="10"/>
    </row>
    <row r="268" spans="1:25" s="166" customFormat="1" ht="16.5" customHeight="1" x14ac:dyDescent="0.2">
      <c r="A268" s="339" t="s">
        <v>698</v>
      </c>
      <c r="B268" s="340"/>
      <c r="C268" s="341"/>
      <c r="D268" s="148">
        <v>1.7</v>
      </c>
      <c r="E268" s="148">
        <v>0.15</v>
      </c>
      <c r="F268" s="148">
        <v>0.4</v>
      </c>
      <c r="G268" s="148">
        <v>7</v>
      </c>
      <c r="H268" s="148">
        <f t="shared" si="12"/>
        <v>1.62</v>
      </c>
      <c r="I268" s="148"/>
      <c r="J268" s="170">
        <f t="shared" si="13"/>
        <v>11.34</v>
      </c>
      <c r="K268" s="10"/>
      <c r="L268" s="10"/>
      <c r="M268" s="10"/>
      <c r="N268" s="10"/>
      <c r="O268" s="10"/>
      <c r="P268" s="10"/>
      <c r="Q268" s="10"/>
      <c r="R268" s="10"/>
      <c r="S268" s="10"/>
      <c r="T268" s="10"/>
      <c r="U268" s="10"/>
      <c r="V268" s="10"/>
      <c r="W268" s="10"/>
      <c r="X268" s="10"/>
      <c r="Y268" s="10"/>
    </row>
    <row r="269" spans="1:25" s="166" customFormat="1" ht="16.5" customHeight="1" x14ac:dyDescent="0.2">
      <c r="A269" s="339" t="s">
        <v>699</v>
      </c>
      <c r="B269" s="340"/>
      <c r="C269" s="341"/>
      <c r="D269" s="148">
        <v>1.2</v>
      </c>
      <c r="E269" s="148">
        <v>0.15</v>
      </c>
      <c r="F269" s="148">
        <v>0.4</v>
      </c>
      <c r="G269" s="148">
        <v>7</v>
      </c>
      <c r="H269" s="148">
        <f t="shared" si="12"/>
        <v>1.1399999999999999</v>
      </c>
      <c r="I269" s="148"/>
      <c r="J269" s="170">
        <f t="shared" si="13"/>
        <v>7.9799999999999995</v>
      </c>
      <c r="K269" s="10"/>
      <c r="L269" s="10"/>
      <c r="M269" s="10"/>
      <c r="N269" s="10"/>
      <c r="O269" s="10"/>
      <c r="P269" s="10"/>
      <c r="Q269" s="10"/>
      <c r="R269" s="10"/>
      <c r="S269" s="10"/>
      <c r="T269" s="10"/>
      <c r="U269" s="10"/>
      <c r="V269" s="10"/>
      <c r="W269" s="10"/>
      <c r="X269" s="10"/>
      <c r="Y269" s="10"/>
    </row>
    <row r="270" spans="1:25" s="166" customFormat="1" ht="16.5" customHeight="1" x14ac:dyDescent="0.2">
      <c r="A270" s="339" t="s">
        <v>700</v>
      </c>
      <c r="B270" s="340"/>
      <c r="C270" s="341"/>
      <c r="D270" s="148">
        <v>1.2</v>
      </c>
      <c r="E270" s="148">
        <v>0.15</v>
      </c>
      <c r="F270" s="148">
        <v>0.4</v>
      </c>
      <c r="G270" s="148">
        <v>7</v>
      </c>
      <c r="H270" s="148">
        <f t="shared" si="12"/>
        <v>1.1399999999999999</v>
      </c>
      <c r="I270" s="148"/>
      <c r="J270" s="170">
        <f t="shared" si="13"/>
        <v>7.9799999999999995</v>
      </c>
      <c r="K270" s="10"/>
      <c r="L270" s="10"/>
      <c r="M270" s="10"/>
      <c r="N270" s="10"/>
      <c r="O270" s="10"/>
      <c r="P270" s="10"/>
      <c r="Q270" s="10"/>
      <c r="R270" s="10"/>
      <c r="S270" s="10"/>
      <c r="T270" s="10"/>
      <c r="U270" s="10"/>
      <c r="V270" s="10"/>
      <c r="W270" s="10"/>
      <c r="X270" s="10"/>
      <c r="Y270" s="10"/>
    </row>
    <row r="271" spans="1:25" s="166" customFormat="1" ht="16.5" customHeight="1" x14ac:dyDescent="0.2">
      <c r="A271" s="339" t="s">
        <v>701</v>
      </c>
      <c r="B271" s="340"/>
      <c r="C271" s="341"/>
      <c r="D271" s="148">
        <v>4.9400000000000004</v>
      </c>
      <c r="E271" s="148">
        <v>0.15</v>
      </c>
      <c r="F271" s="148">
        <v>0.4</v>
      </c>
      <c r="G271" s="148">
        <v>7</v>
      </c>
      <c r="H271" s="148">
        <f t="shared" si="12"/>
        <v>4.6900000000000004</v>
      </c>
      <c r="I271" s="148"/>
      <c r="J271" s="170">
        <f t="shared" si="13"/>
        <v>32.830000000000005</v>
      </c>
      <c r="K271" s="10"/>
      <c r="L271" s="10"/>
      <c r="M271" s="10"/>
      <c r="N271" s="10"/>
      <c r="O271" s="10"/>
      <c r="P271" s="10"/>
      <c r="Q271" s="10"/>
      <c r="R271" s="10"/>
      <c r="S271" s="10"/>
      <c r="T271" s="10"/>
      <c r="U271" s="10"/>
      <c r="V271" s="10"/>
      <c r="W271" s="10"/>
      <c r="X271" s="10"/>
      <c r="Y271" s="10"/>
    </row>
    <row r="272" spans="1:25" s="166" customFormat="1" ht="16.5" customHeight="1" x14ac:dyDescent="0.2">
      <c r="A272" s="339" t="s">
        <v>702</v>
      </c>
      <c r="B272" s="340"/>
      <c r="C272" s="341"/>
      <c r="D272" s="148">
        <v>4.9400000000000004</v>
      </c>
      <c r="E272" s="148">
        <v>0.15</v>
      </c>
      <c r="F272" s="148">
        <v>0.4</v>
      </c>
      <c r="G272" s="148">
        <v>7</v>
      </c>
      <c r="H272" s="148">
        <f t="shared" si="12"/>
        <v>4.6900000000000004</v>
      </c>
      <c r="I272" s="148"/>
      <c r="J272" s="170">
        <f t="shared" si="13"/>
        <v>32.830000000000005</v>
      </c>
      <c r="K272" s="10"/>
      <c r="L272" s="10"/>
      <c r="M272" s="10"/>
      <c r="N272" s="10"/>
      <c r="O272" s="10"/>
      <c r="P272" s="10"/>
      <c r="Q272" s="10"/>
      <c r="R272" s="10"/>
      <c r="S272" s="10"/>
      <c r="T272" s="10"/>
      <c r="U272" s="10"/>
      <c r="V272" s="10"/>
      <c r="W272" s="10"/>
      <c r="X272" s="10"/>
      <c r="Y272" s="10"/>
    </row>
    <row r="273" spans="1:25" s="166" customFormat="1" ht="16.5" customHeight="1" x14ac:dyDescent="0.2">
      <c r="A273" s="339" t="s">
        <v>703</v>
      </c>
      <c r="B273" s="340"/>
      <c r="C273" s="341"/>
      <c r="D273" s="148">
        <v>4.4000000000000004</v>
      </c>
      <c r="E273" s="148">
        <v>0.15</v>
      </c>
      <c r="F273" s="148">
        <v>0.4</v>
      </c>
      <c r="G273" s="148">
        <v>7</v>
      </c>
      <c r="H273" s="148">
        <f t="shared" si="12"/>
        <v>4.18</v>
      </c>
      <c r="I273" s="148"/>
      <c r="J273" s="170">
        <f t="shared" si="13"/>
        <v>29.259999999999998</v>
      </c>
      <c r="K273" s="10"/>
      <c r="L273" s="10"/>
      <c r="M273" s="10"/>
      <c r="N273" s="10"/>
      <c r="O273" s="10"/>
      <c r="P273" s="10"/>
      <c r="Q273" s="10"/>
      <c r="R273" s="10"/>
      <c r="S273" s="10"/>
      <c r="T273" s="10"/>
      <c r="U273" s="10"/>
      <c r="V273" s="10"/>
      <c r="W273" s="10"/>
      <c r="X273" s="10"/>
      <c r="Y273" s="10"/>
    </row>
    <row r="274" spans="1:25" s="166" customFormat="1" ht="16.5" customHeight="1" x14ac:dyDescent="0.2">
      <c r="A274" s="339" t="s">
        <v>704</v>
      </c>
      <c r="B274" s="340"/>
      <c r="C274" s="341"/>
      <c r="D274" s="148">
        <v>2.62</v>
      </c>
      <c r="E274" s="148">
        <v>0.15</v>
      </c>
      <c r="F274" s="148">
        <v>0.4</v>
      </c>
      <c r="G274" s="148">
        <v>7</v>
      </c>
      <c r="H274" s="148">
        <f t="shared" si="12"/>
        <v>2.4900000000000002</v>
      </c>
      <c r="I274" s="148"/>
      <c r="J274" s="170">
        <f t="shared" si="13"/>
        <v>17.43</v>
      </c>
      <c r="K274" s="10"/>
      <c r="L274" s="10"/>
      <c r="M274" s="10"/>
      <c r="N274" s="10"/>
      <c r="O274" s="10"/>
      <c r="P274" s="10"/>
      <c r="Q274" s="10"/>
      <c r="R274" s="10"/>
      <c r="S274" s="10"/>
      <c r="T274" s="10"/>
      <c r="U274" s="10"/>
      <c r="V274" s="10"/>
      <c r="W274" s="10"/>
      <c r="X274" s="10"/>
      <c r="Y274" s="10"/>
    </row>
    <row r="275" spans="1:25" s="166" customFormat="1" ht="16.5" customHeight="1" x14ac:dyDescent="0.2">
      <c r="A275" s="339" t="s">
        <v>705</v>
      </c>
      <c r="B275" s="340"/>
      <c r="C275" s="341"/>
      <c r="D275" s="148">
        <v>2.62</v>
      </c>
      <c r="E275" s="148">
        <v>0.15</v>
      </c>
      <c r="F275" s="148">
        <v>0.4</v>
      </c>
      <c r="G275" s="148">
        <v>7</v>
      </c>
      <c r="H275" s="148">
        <f t="shared" si="12"/>
        <v>2.4900000000000002</v>
      </c>
      <c r="I275" s="148"/>
      <c r="J275" s="170">
        <f t="shared" si="13"/>
        <v>17.43</v>
      </c>
      <c r="K275" s="10"/>
      <c r="L275" s="10"/>
      <c r="M275" s="10"/>
      <c r="N275" s="10"/>
      <c r="O275" s="10"/>
      <c r="P275" s="10"/>
      <c r="Q275" s="10"/>
      <c r="R275" s="10"/>
      <c r="S275" s="10"/>
      <c r="T275" s="10"/>
      <c r="U275" s="10"/>
      <c r="V275" s="10"/>
      <c r="W275" s="10"/>
      <c r="X275" s="10"/>
      <c r="Y275" s="10"/>
    </row>
    <row r="276" spans="1:25" s="166" customFormat="1" ht="16.5" customHeight="1" x14ac:dyDescent="0.2">
      <c r="A276" s="339" t="s">
        <v>706</v>
      </c>
      <c r="B276" s="340"/>
      <c r="C276" s="341"/>
      <c r="D276" s="148">
        <v>0.93</v>
      </c>
      <c r="E276" s="148">
        <v>0.15</v>
      </c>
      <c r="F276" s="148">
        <v>0.4</v>
      </c>
      <c r="G276" s="148">
        <v>7</v>
      </c>
      <c r="H276" s="148">
        <f t="shared" si="12"/>
        <v>0.88</v>
      </c>
      <c r="I276" s="148"/>
      <c r="J276" s="170">
        <f t="shared" si="13"/>
        <v>6.16</v>
      </c>
      <c r="K276" s="10"/>
      <c r="L276" s="10"/>
      <c r="M276" s="10"/>
      <c r="N276" s="10"/>
      <c r="O276" s="10"/>
      <c r="P276" s="10"/>
      <c r="Q276" s="10"/>
      <c r="R276" s="10"/>
      <c r="S276" s="10"/>
      <c r="T276" s="10"/>
      <c r="U276" s="10"/>
      <c r="V276" s="10"/>
      <c r="W276" s="10"/>
      <c r="X276" s="10"/>
      <c r="Y276" s="10"/>
    </row>
    <row r="277" spans="1:25" s="166" customFormat="1" ht="16.5" customHeight="1" x14ac:dyDescent="0.2">
      <c r="A277" s="339" t="s">
        <v>707</v>
      </c>
      <c r="B277" s="340"/>
      <c r="C277" s="341"/>
      <c r="D277" s="148">
        <v>0.93</v>
      </c>
      <c r="E277" s="148">
        <v>0.15</v>
      </c>
      <c r="F277" s="148">
        <v>0.4</v>
      </c>
      <c r="G277" s="148">
        <v>7</v>
      </c>
      <c r="H277" s="148">
        <f t="shared" si="12"/>
        <v>0.88</v>
      </c>
      <c r="I277" s="148"/>
      <c r="J277" s="170">
        <f t="shared" si="13"/>
        <v>6.16</v>
      </c>
      <c r="K277" s="10"/>
      <c r="L277" s="10"/>
      <c r="M277" s="10"/>
      <c r="N277" s="10"/>
      <c r="O277" s="10"/>
      <c r="P277" s="10"/>
      <c r="Q277" s="10"/>
      <c r="R277" s="10"/>
      <c r="S277" s="10"/>
      <c r="T277" s="10"/>
      <c r="U277" s="10"/>
      <c r="V277" s="10"/>
      <c r="W277" s="10"/>
      <c r="X277" s="10"/>
      <c r="Y277" s="10"/>
    </row>
    <row r="278" spans="1:25" s="166" customFormat="1" ht="16.5" customHeight="1" x14ac:dyDescent="0.2">
      <c r="A278" s="339" t="s">
        <v>708</v>
      </c>
      <c r="B278" s="340"/>
      <c r="C278" s="341"/>
      <c r="D278" s="148">
        <v>4.6900000000000004</v>
      </c>
      <c r="E278" s="148">
        <v>0.15</v>
      </c>
      <c r="F278" s="148">
        <v>0.4</v>
      </c>
      <c r="G278" s="148">
        <v>7</v>
      </c>
      <c r="H278" s="148">
        <f t="shared" si="12"/>
        <v>4.46</v>
      </c>
      <c r="I278" s="148"/>
      <c r="J278" s="170">
        <f t="shared" si="13"/>
        <v>31.22</v>
      </c>
      <c r="K278" s="10"/>
      <c r="L278" s="10"/>
      <c r="M278" s="10"/>
      <c r="N278" s="10"/>
      <c r="O278" s="10"/>
      <c r="P278" s="10"/>
      <c r="Q278" s="10"/>
      <c r="R278" s="10"/>
      <c r="S278" s="10"/>
      <c r="T278" s="10"/>
      <c r="U278" s="10"/>
      <c r="V278" s="10"/>
      <c r="W278" s="10"/>
      <c r="X278" s="10"/>
      <c r="Y278" s="10"/>
    </row>
    <row r="279" spans="1:25" s="166" customFormat="1" ht="16.5" customHeight="1" x14ac:dyDescent="0.2">
      <c r="A279" s="339" t="s">
        <v>709</v>
      </c>
      <c r="B279" s="340"/>
      <c r="C279" s="341"/>
      <c r="D279" s="148">
        <v>4.6900000000000004</v>
      </c>
      <c r="E279" s="148">
        <v>0.15</v>
      </c>
      <c r="F279" s="148">
        <v>0.4</v>
      </c>
      <c r="G279" s="148">
        <v>7</v>
      </c>
      <c r="H279" s="148">
        <f t="shared" si="12"/>
        <v>4.46</v>
      </c>
      <c r="I279" s="148"/>
      <c r="J279" s="170">
        <f t="shared" si="13"/>
        <v>31.22</v>
      </c>
      <c r="K279" s="10"/>
      <c r="L279" s="10"/>
      <c r="M279" s="10"/>
      <c r="N279" s="10"/>
      <c r="O279" s="10"/>
      <c r="P279" s="10"/>
      <c r="Q279" s="10"/>
      <c r="R279" s="10"/>
      <c r="S279" s="10"/>
      <c r="T279" s="10"/>
      <c r="U279" s="10"/>
      <c r="V279" s="10"/>
      <c r="W279" s="10"/>
      <c r="X279" s="10"/>
      <c r="Y279" s="10"/>
    </row>
    <row r="280" spans="1:25" s="166" customFormat="1" ht="16.5" customHeight="1" x14ac:dyDescent="0.2">
      <c r="A280" s="339" t="s">
        <v>710</v>
      </c>
      <c r="B280" s="340"/>
      <c r="C280" s="341"/>
      <c r="D280" s="148">
        <v>4.6900000000000004</v>
      </c>
      <c r="E280" s="148">
        <v>0.15</v>
      </c>
      <c r="F280" s="148">
        <v>0.4</v>
      </c>
      <c r="G280" s="148">
        <v>7</v>
      </c>
      <c r="H280" s="148">
        <f t="shared" si="12"/>
        <v>4.46</v>
      </c>
      <c r="I280" s="148"/>
      <c r="J280" s="170">
        <f t="shared" si="13"/>
        <v>31.22</v>
      </c>
      <c r="K280" s="10"/>
      <c r="L280" s="10"/>
      <c r="M280" s="10"/>
      <c r="N280" s="10"/>
      <c r="O280" s="10"/>
      <c r="P280" s="10"/>
      <c r="Q280" s="10"/>
      <c r="R280" s="10"/>
      <c r="S280" s="10"/>
      <c r="T280" s="10"/>
      <c r="U280" s="10"/>
      <c r="V280" s="10"/>
      <c r="W280" s="10"/>
      <c r="X280" s="10"/>
      <c r="Y280" s="10"/>
    </row>
    <row r="281" spans="1:25" s="166" customFormat="1" ht="16.5" customHeight="1" x14ac:dyDescent="0.2">
      <c r="A281" s="339" t="s">
        <v>711</v>
      </c>
      <c r="B281" s="340"/>
      <c r="C281" s="341"/>
      <c r="D281" s="148">
        <v>4.6900000000000004</v>
      </c>
      <c r="E281" s="148">
        <v>0.15</v>
      </c>
      <c r="F281" s="148">
        <v>0.4</v>
      </c>
      <c r="G281" s="148">
        <v>7</v>
      </c>
      <c r="H281" s="148">
        <f t="shared" si="12"/>
        <v>4.46</v>
      </c>
      <c r="I281" s="148"/>
      <c r="J281" s="170">
        <f t="shared" si="13"/>
        <v>31.22</v>
      </c>
      <c r="K281" s="10"/>
      <c r="L281" s="10"/>
      <c r="M281" s="10"/>
      <c r="N281" s="10"/>
      <c r="O281" s="10"/>
      <c r="P281" s="10"/>
      <c r="Q281" s="10"/>
      <c r="R281" s="10"/>
      <c r="S281" s="10"/>
      <c r="T281" s="10"/>
      <c r="U281" s="10"/>
      <c r="V281" s="10"/>
      <c r="W281" s="10"/>
      <c r="X281" s="10"/>
      <c r="Y281" s="10"/>
    </row>
    <row r="282" spans="1:25" s="166" customFormat="1" ht="16.5" customHeight="1" x14ac:dyDescent="0.2">
      <c r="A282" s="339" t="s">
        <v>712</v>
      </c>
      <c r="B282" s="340"/>
      <c r="C282" s="341"/>
      <c r="D282" s="148">
        <v>16.34</v>
      </c>
      <c r="E282" s="148">
        <v>0.15</v>
      </c>
      <c r="F282" s="148">
        <v>0.4</v>
      </c>
      <c r="G282" s="148">
        <v>7</v>
      </c>
      <c r="H282" s="148">
        <f t="shared" si="12"/>
        <v>15.52</v>
      </c>
      <c r="I282" s="148"/>
      <c r="J282" s="170">
        <f t="shared" si="13"/>
        <v>108.64</v>
      </c>
      <c r="K282" s="10"/>
      <c r="L282" s="10"/>
      <c r="M282" s="10"/>
      <c r="N282" s="10"/>
      <c r="O282" s="10"/>
      <c r="P282" s="10"/>
      <c r="Q282" s="10"/>
      <c r="R282" s="10"/>
      <c r="S282" s="10"/>
      <c r="T282" s="10"/>
      <c r="U282" s="10"/>
      <c r="V282" s="10"/>
      <c r="W282" s="10"/>
      <c r="X282" s="10"/>
      <c r="Y282" s="10"/>
    </row>
    <row r="283" spans="1:25" s="166" customFormat="1" ht="16.5" customHeight="1" x14ac:dyDescent="0.2">
      <c r="A283" s="339" t="s">
        <v>713</v>
      </c>
      <c r="B283" s="340"/>
      <c r="C283" s="341"/>
      <c r="D283" s="148">
        <v>1.35</v>
      </c>
      <c r="E283" s="148">
        <v>0.15</v>
      </c>
      <c r="F283" s="148">
        <v>0.4</v>
      </c>
      <c r="G283" s="148">
        <v>7</v>
      </c>
      <c r="H283" s="148">
        <f t="shared" si="12"/>
        <v>1.28</v>
      </c>
      <c r="I283" s="148"/>
      <c r="J283" s="170">
        <f t="shared" si="13"/>
        <v>8.9600000000000009</v>
      </c>
      <c r="K283" s="10"/>
      <c r="L283" s="10"/>
      <c r="M283" s="10"/>
      <c r="N283" s="10"/>
      <c r="O283" s="10"/>
      <c r="P283" s="10"/>
      <c r="Q283" s="10"/>
      <c r="R283" s="10"/>
      <c r="S283" s="10"/>
      <c r="T283" s="10"/>
      <c r="U283" s="10"/>
      <c r="V283" s="10"/>
      <c r="W283" s="10"/>
      <c r="X283" s="10"/>
      <c r="Y283" s="10"/>
    </row>
    <row r="284" spans="1:25" s="166" customFormat="1" ht="16.5" customHeight="1" x14ac:dyDescent="0.2">
      <c r="A284" s="339" t="s">
        <v>714</v>
      </c>
      <c r="B284" s="340"/>
      <c r="C284" s="341"/>
      <c r="D284" s="148">
        <v>1.35</v>
      </c>
      <c r="E284" s="148">
        <v>0.15</v>
      </c>
      <c r="F284" s="148">
        <v>0.4</v>
      </c>
      <c r="G284" s="148">
        <v>7</v>
      </c>
      <c r="H284" s="148">
        <f t="shared" si="12"/>
        <v>1.28</v>
      </c>
      <c r="I284" s="148"/>
      <c r="J284" s="170">
        <f t="shared" si="13"/>
        <v>8.9600000000000009</v>
      </c>
      <c r="K284" s="10"/>
      <c r="L284" s="10"/>
      <c r="M284" s="10"/>
      <c r="N284" s="10"/>
      <c r="O284" s="10"/>
      <c r="P284" s="10"/>
      <c r="Q284" s="10"/>
      <c r="R284" s="10"/>
      <c r="S284" s="10"/>
      <c r="T284" s="10"/>
      <c r="U284" s="10"/>
      <c r="V284" s="10"/>
      <c r="W284" s="10"/>
      <c r="X284" s="10"/>
      <c r="Y284" s="10"/>
    </row>
    <row r="285" spans="1:25" s="166" customFormat="1" ht="16.5" customHeight="1" x14ac:dyDescent="0.2">
      <c r="A285" s="339" t="s">
        <v>715</v>
      </c>
      <c r="B285" s="340"/>
      <c r="C285" s="341"/>
      <c r="D285" s="148">
        <v>15.8</v>
      </c>
      <c r="E285" s="148">
        <v>0.15</v>
      </c>
      <c r="F285" s="148">
        <v>0.4</v>
      </c>
      <c r="G285" s="148">
        <v>7</v>
      </c>
      <c r="H285" s="148">
        <f t="shared" si="12"/>
        <v>15.01</v>
      </c>
      <c r="I285" s="148"/>
      <c r="J285" s="170">
        <f t="shared" si="13"/>
        <v>105.07</v>
      </c>
      <c r="K285" s="10"/>
      <c r="L285" s="10"/>
      <c r="M285" s="10"/>
      <c r="N285" s="10"/>
      <c r="O285" s="10"/>
      <c r="P285" s="10"/>
      <c r="Q285" s="10"/>
      <c r="R285" s="10"/>
      <c r="S285" s="10"/>
      <c r="T285" s="10"/>
      <c r="U285" s="10"/>
      <c r="V285" s="10"/>
      <c r="W285" s="10"/>
      <c r="X285" s="10"/>
      <c r="Y285" s="10"/>
    </row>
    <row r="286" spans="1:25" s="166" customFormat="1" ht="16.5" customHeight="1" x14ac:dyDescent="0.2">
      <c r="A286" s="339" t="s">
        <v>716</v>
      </c>
      <c r="B286" s="340"/>
      <c r="C286" s="341"/>
      <c r="D286" s="148">
        <v>15.84</v>
      </c>
      <c r="E286" s="148">
        <v>0.15</v>
      </c>
      <c r="F286" s="148">
        <v>0.4</v>
      </c>
      <c r="G286" s="148">
        <v>7</v>
      </c>
      <c r="H286" s="148">
        <f t="shared" si="12"/>
        <v>15.05</v>
      </c>
      <c r="I286" s="148"/>
      <c r="J286" s="170">
        <f t="shared" si="13"/>
        <v>105.35000000000001</v>
      </c>
      <c r="K286" s="10"/>
      <c r="L286" s="10"/>
      <c r="M286" s="10"/>
      <c r="N286" s="10"/>
      <c r="O286" s="10"/>
      <c r="P286" s="10"/>
      <c r="Q286" s="10"/>
      <c r="R286" s="10"/>
      <c r="S286" s="10"/>
      <c r="T286" s="10"/>
      <c r="U286" s="10"/>
      <c r="V286" s="10"/>
      <c r="W286" s="10"/>
      <c r="X286" s="10"/>
      <c r="Y286" s="10"/>
    </row>
    <row r="287" spans="1:25" s="166" customFormat="1" ht="16.5" customHeight="1" x14ac:dyDescent="0.2">
      <c r="A287" s="339" t="s">
        <v>717</v>
      </c>
      <c r="B287" s="340"/>
      <c r="C287" s="341"/>
      <c r="D287" s="148">
        <v>3.29</v>
      </c>
      <c r="E287" s="148">
        <v>0.15</v>
      </c>
      <c r="F287" s="148">
        <v>0.4</v>
      </c>
      <c r="G287" s="148">
        <v>7</v>
      </c>
      <c r="H287" s="148">
        <f t="shared" si="12"/>
        <v>3.13</v>
      </c>
      <c r="I287" s="148"/>
      <c r="J287" s="170">
        <f t="shared" si="13"/>
        <v>21.91</v>
      </c>
      <c r="K287" s="10"/>
      <c r="L287" s="10"/>
      <c r="M287" s="10"/>
      <c r="N287" s="10"/>
      <c r="O287" s="10"/>
      <c r="P287" s="10"/>
      <c r="Q287" s="10"/>
      <c r="R287" s="10"/>
      <c r="S287" s="10"/>
      <c r="T287" s="10"/>
      <c r="U287" s="10"/>
      <c r="V287" s="10"/>
      <c r="W287" s="10"/>
      <c r="X287" s="10"/>
      <c r="Y287" s="10"/>
    </row>
    <row r="288" spans="1:25" s="166" customFormat="1" ht="16.5" customHeight="1" x14ac:dyDescent="0.2">
      <c r="A288" s="339" t="s">
        <v>718</v>
      </c>
      <c r="B288" s="340"/>
      <c r="C288" s="341"/>
      <c r="D288" s="148">
        <v>3.29</v>
      </c>
      <c r="E288" s="148">
        <v>0.15</v>
      </c>
      <c r="F288" s="148">
        <v>0.4</v>
      </c>
      <c r="G288" s="148">
        <v>7</v>
      </c>
      <c r="H288" s="148">
        <f t="shared" si="12"/>
        <v>3.13</v>
      </c>
      <c r="I288" s="148"/>
      <c r="J288" s="170">
        <f t="shared" si="13"/>
        <v>21.91</v>
      </c>
      <c r="K288" s="10"/>
      <c r="L288" s="10"/>
      <c r="M288" s="10"/>
      <c r="N288" s="10"/>
      <c r="O288" s="10"/>
      <c r="P288" s="10"/>
      <c r="Q288" s="10"/>
      <c r="R288" s="10"/>
      <c r="S288" s="10"/>
      <c r="T288" s="10"/>
      <c r="U288" s="10"/>
      <c r="V288" s="10"/>
      <c r="W288" s="10"/>
      <c r="X288" s="10"/>
      <c r="Y288" s="10"/>
    </row>
    <row r="289" spans="1:25" s="166" customFormat="1" ht="16.5" customHeight="1" x14ac:dyDescent="0.2">
      <c r="A289" s="339" t="s">
        <v>719</v>
      </c>
      <c r="B289" s="340"/>
      <c r="C289" s="341"/>
      <c r="D289" s="148">
        <v>15.84</v>
      </c>
      <c r="E289" s="148">
        <v>0.15</v>
      </c>
      <c r="F289" s="148">
        <v>0.4</v>
      </c>
      <c r="G289" s="148">
        <v>7</v>
      </c>
      <c r="H289" s="148">
        <f t="shared" si="12"/>
        <v>15.05</v>
      </c>
      <c r="I289" s="148"/>
      <c r="J289" s="170">
        <f t="shared" si="13"/>
        <v>105.35000000000001</v>
      </c>
      <c r="K289" s="10"/>
      <c r="L289" s="10"/>
      <c r="M289" s="10"/>
      <c r="N289" s="10"/>
      <c r="O289" s="10"/>
      <c r="P289" s="10"/>
      <c r="Q289" s="10"/>
      <c r="R289" s="10"/>
      <c r="S289" s="10"/>
      <c r="T289" s="10"/>
      <c r="U289" s="10"/>
      <c r="V289" s="10"/>
      <c r="W289" s="10"/>
      <c r="X289" s="10"/>
      <c r="Y289" s="10"/>
    </row>
    <row r="290" spans="1:25" s="166" customFormat="1" ht="16.5" customHeight="1" x14ac:dyDescent="0.2">
      <c r="A290" s="339" t="s">
        <v>720</v>
      </c>
      <c r="B290" s="340"/>
      <c r="C290" s="341"/>
      <c r="D290" s="148">
        <v>15.8</v>
      </c>
      <c r="E290" s="148">
        <v>0.15</v>
      </c>
      <c r="F290" s="148">
        <v>0.4</v>
      </c>
      <c r="G290" s="148">
        <v>7</v>
      </c>
      <c r="H290" s="148">
        <f t="shared" si="12"/>
        <v>15.01</v>
      </c>
      <c r="I290" s="148"/>
      <c r="J290" s="170">
        <f t="shared" si="13"/>
        <v>105.07</v>
      </c>
      <c r="K290" s="10"/>
      <c r="L290" s="10"/>
      <c r="M290" s="10"/>
      <c r="N290" s="10"/>
      <c r="O290" s="10"/>
      <c r="P290" s="10"/>
      <c r="Q290" s="10"/>
      <c r="R290" s="10"/>
      <c r="S290" s="10"/>
      <c r="T290" s="10"/>
      <c r="U290" s="10"/>
      <c r="V290" s="10"/>
      <c r="W290" s="10"/>
      <c r="X290" s="10"/>
      <c r="Y290" s="10"/>
    </row>
    <row r="291" spans="1:25" s="166" customFormat="1" ht="16.5" customHeight="1" x14ac:dyDescent="0.2">
      <c r="A291" s="339" t="s">
        <v>721</v>
      </c>
      <c r="B291" s="340"/>
      <c r="C291" s="341"/>
      <c r="D291" s="148">
        <v>1.35</v>
      </c>
      <c r="E291" s="148">
        <v>0.15</v>
      </c>
      <c r="F291" s="148">
        <v>0.4</v>
      </c>
      <c r="G291" s="148">
        <v>7</v>
      </c>
      <c r="H291" s="148">
        <f t="shared" si="12"/>
        <v>1.28</v>
      </c>
      <c r="I291" s="148"/>
      <c r="J291" s="170">
        <f t="shared" si="13"/>
        <v>8.9600000000000009</v>
      </c>
      <c r="K291" s="10"/>
      <c r="L291" s="10"/>
      <c r="M291" s="10"/>
      <c r="N291" s="10"/>
      <c r="O291" s="10"/>
      <c r="P291" s="10"/>
      <c r="Q291" s="10"/>
      <c r="R291" s="10"/>
      <c r="S291" s="10"/>
      <c r="T291" s="10"/>
      <c r="U291" s="10"/>
      <c r="V291" s="10"/>
      <c r="W291" s="10"/>
      <c r="X291" s="10"/>
      <c r="Y291" s="10"/>
    </row>
    <row r="292" spans="1:25" s="166" customFormat="1" ht="16.5" customHeight="1" x14ac:dyDescent="0.2">
      <c r="A292" s="339" t="s">
        <v>722</v>
      </c>
      <c r="B292" s="340"/>
      <c r="C292" s="341"/>
      <c r="D292" s="148">
        <v>1.35</v>
      </c>
      <c r="E292" s="148">
        <v>0.15</v>
      </c>
      <c r="F292" s="148">
        <v>0.4</v>
      </c>
      <c r="G292" s="148">
        <v>7</v>
      </c>
      <c r="H292" s="148">
        <f t="shared" si="12"/>
        <v>1.28</v>
      </c>
      <c r="I292" s="148"/>
      <c r="J292" s="170">
        <f t="shared" si="13"/>
        <v>8.9600000000000009</v>
      </c>
      <c r="K292" s="10"/>
      <c r="L292" s="10"/>
      <c r="M292" s="10"/>
      <c r="N292" s="10"/>
      <c r="O292" s="10"/>
      <c r="P292" s="10"/>
      <c r="Q292" s="10"/>
      <c r="R292" s="10"/>
      <c r="S292" s="10"/>
      <c r="T292" s="10"/>
      <c r="U292" s="10"/>
      <c r="V292" s="10"/>
      <c r="W292" s="10"/>
      <c r="X292" s="10"/>
      <c r="Y292" s="10"/>
    </row>
    <row r="293" spans="1:25" s="166" customFormat="1" ht="16.5" customHeight="1" x14ac:dyDescent="0.2">
      <c r="A293" s="339" t="s">
        <v>723</v>
      </c>
      <c r="B293" s="340"/>
      <c r="C293" s="341"/>
      <c r="D293" s="148">
        <v>16.34</v>
      </c>
      <c r="E293" s="148">
        <v>0.15</v>
      </c>
      <c r="F293" s="148">
        <v>0.4</v>
      </c>
      <c r="G293" s="148">
        <v>7</v>
      </c>
      <c r="H293" s="148">
        <f t="shared" si="12"/>
        <v>15.52</v>
      </c>
      <c r="I293" s="148"/>
      <c r="J293" s="170">
        <f t="shared" si="13"/>
        <v>108.64</v>
      </c>
      <c r="K293" s="10"/>
      <c r="L293" s="10"/>
      <c r="M293" s="10"/>
      <c r="N293" s="10"/>
      <c r="O293" s="10"/>
      <c r="P293" s="10"/>
      <c r="Q293" s="10"/>
      <c r="R293" s="10"/>
      <c r="S293" s="10"/>
      <c r="T293" s="10"/>
      <c r="U293" s="10"/>
      <c r="V293" s="10"/>
      <c r="W293" s="10"/>
      <c r="X293" s="10"/>
      <c r="Y293" s="10"/>
    </row>
    <row r="294" spans="1:25" ht="16.5" customHeight="1" x14ac:dyDescent="0.2">
      <c r="A294" s="429" t="s">
        <v>688</v>
      </c>
      <c r="B294" s="430"/>
      <c r="C294" s="431"/>
      <c r="D294" s="148">
        <v>0.6</v>
      </c>
      <c r="E294" s="148">
        <v>0.6</v>
      </c>
      <c r="F294" s="148">
        <v>0.6</v>
      </c>
      <c r="G294" s="148">
        <v>196</v>
      </c>
      <c r="H294" s="148">
        <f>(F294*E294*5)</f>
        <v>1.7999999999999998</v>
      </c>
      <c r="I294" s="148"/>
      <c r="J294" s="170">
        <f t="shared" si="13"/>
        <v>352.79999999999995</v>
      </c>
      <c r="K294" s="10"/>
      <c r="L294" s="10"/>
      <c r="M294" s="10"/>
      <c r="N294" s="10"/>
      <c r="O294" s="10"/>
      <c r="P294" s="10"/>
      <c r="Q294" s="10"/>
      <c r="R294" s="10"/>
      <c r="S294" s="10"/>
      <c r="T294" s="10"/>
      <c r="U294" s="10"/>
      <c r="V294" s="10"/>
      <c r="W294" s="10"/>
      <c r="X294" s="10"/>
      <c r="Y294" s="10"/>
    </row>
    <row r="295" spans="1:25" ht="16.5" customHeight="1" x14ac:dyDescent="0.2">
      <c r="A295" s="336" t="str">
        <f>"TOTAL - "&amp;'Planilha orçamentária'!F41</f>
        <v>TOTAL - M2</v>
      </c>
      <c r="B295" s="337"/>
      <c r="C295" s="337"/>
      <c r="D295" s="337"/>
      <c r="E295" s="337"/>
      <c r="F295" s="337"/>
      <c r="G295" s="337"/>
      <c r="H295" s="337"/>
      <c r="I295" s="338"/>
      <c r="J295" s="149">
        <f>SUM(J259:J294)</f>
        <v>1562.89</v>
      </c>
      <c r="K295" s="10"/>
      <c r="L295" s="10"/>
      <c r="M295" s="10"/>
      <c r="N295" s="10"/>
      <c r="O295" s="10"/>
      <c r="P295" s="10"/>
      <c r="Q295" s="10"/>
      <c r="R295" s="10"/>
      <c r="S295" s="10"/>
      <c r="T295" s="10"/>
      <c r="U295" s="10"/>
      <c r="V295" s="10"/>
      <c r="W295" s="10"/>
      <c r="X295" s="10"/>
      <c r="Y295" s="10"/>
    </row>
    <row r="296" spans="1:25" ht="16.5" customHeight="1" x14ac:dyDescent="0.2">
      <c r="A296" s="35">
        <f>'Planilha orçamentária'!A43</f>
        <v>7</v>
      </c>
      <c r="B296" s="397" t="str">
        <f>'Planilha orçamentária'!D43</f>
        <v>ALVENARIA E DIVISÓRIAS</v>
      </c>
      <c r="C296" s="393"/>
      <c r="D296" s="393"/>
      <c r="E296" s="393"/>
      <c r="F296" s="393"/>
      <c r="G296" s="393"/>
      <c r="H296" s="393"/>
      <c r="I296" s="393"/>
      <c r="J296" s="393"/>
      <c r="K296" s="10"/>
      <c r="L296" s="10"/>
      <c r="M296" s="10"/>
      <c r="N296" s="10"/>
      <c r="O296" s="10"/>
      <c r="P296" s="10"/>
      <c r="Q296" s="10"/>
      <c r="R296" s="10"/>
      <c r="S296" s="10"/>
      <c r="T296" s="10"/>
      <c r="U296" s="10"/>
      <c r="V296" s="10"/>
      <c r="W296" s="10"/>
      <c r="X296" s="10"/>
      <c r="Y296" s="10"/>
    </row>
    <row r="297" spans="1:25" ht="16.5" customHeight="1" x14ac:dyDescent="0.2">
      <c r="A297" s="184" t="str">
        <f>'Planilha orçamentária'!A44</f>
        <v>7.1</v>
      </c>
      <c r="B297" s="343" t="str">
        <f>'Planilha orçamentária'!D44</f>
        <v>Alvenaria de vedação com tijolo cerâmico furado, esp. 14cm, para revestimento, inclusive argamassa para assentamento</v>
      </c>
      <c r="C297" s="344"/>
      <c r="D297" s="344"/>
      <c r="E297" s="344"/>
      <c r="F297" s="344"/>
      <c r="G297" s="344"/>
      <c r="H297" s="344"/>
      <c r="I297" s="344"/>
      <c r="J297" s="344"/>
      <c r="K297" s="10"/>
      <c r="L297" s="10"/>
      <c r="M297" s="10"/>
      <c r="N297" s="10"/>
      <c r="O297" s="10"/>
      <c r="P297" s="10"/>
      <c r="Q297" s="10"/>
      <c r="R297" s="10"/>
      <c r="S297" s="10"/>
      <c r="T297" s="10"/>
      <c r="U297" s="10"/>
      <c r="V297" s="10"/>
      <c r="W297" s="10"/>
      <c r="X297" s="10"/>
      <c r="Y297" s="10"/>
    </row>
    <row r="298" spans="1:25" ht="16.5" customHeight="1" x14ac:dyDescent="0.2">
      <c r="A298" s="327" t="s">
        <v>120</v>
      </c>
      <c r="B298" s="328"/>
      <c r="C298" s="328"/>
      <c r="D298" s="182" t="s">
        <v>307</v>
      </c>
      <c r="E298" s="182" t="s">
        <v>122</v>
      </c>
      <c r="F298" s="182" t="s">
        <v>123</v>
      </c>
      <c r="G298" s="181" t="s">
        <v>124</v>
      </c>
      <c r="H298" s="181" t="s">
        <v>125</v>
      </c>
      <c r="I298" s="182" t="s">
        <v>126</v>
      </c>
      <c r="J298" s="182" t="s">
        <v>113</v>
      </c>
      <c r="K298" s="10"/>
      <c r="L298" s="10"/>
      <c r="M298" s="10"/>
      <c r="N298" s="10"/>
      <c r="O298" s="10"/>
      <c r="P298" s="10"/>
      <c r="Q298" s="10"/>
      <c r="R298" s="10"/>
      <c r="S298" s="10"/>
      <c r="T298" s="10"/>
      <c r="U298" s="10"/>
      <c r="V298" s="10"/>
      <c r="W298" s="10"/>
      <c r="X298" s="10"/>
      <c r="Y298" s="10"/>
    </row>
    <row r="299" spans="1:25" s="32" customFormat="1" ht="16.5" customHeight="1" x14ac:dyDescent="0.2">
      <c r="A299" s="320" t="s">
        <v>724</v>
      </c>
      <c r="B299" s="320"/>
      <c r="C299" s="320"/>
      <c r="D299" s="148">
        <f>4.69*4+3.9*2</f>
        <v>26.560000000000002</v>
      </c>
      <c r="E299" s="148"/>
      <c r="F299" s="148">
        <f>2.9-0.5</f>
        <v>2.4</v>
      </c>
      <c r="G299" s="148">
        <v>7</v>
      </c>
      <c r="H299" s="148"/>
      <c r="I299" s="148">
        <f>(8*1.2*1.2+0.8*1.6+2*0.6*1.2)*7</f>
        <v>99.68</v>
      </c>
      <c r="J299" s="170">
        <f t="shared" ref="J299:J309" si="14">PRODUCT(D299:H299)-I299</f>
        <v>346.52799999999996</v>
      </c>
      <c r="K299" s="36"/>
      <c r="L299" s="36"/>
      <c r="M299" s="36"/>
      <c r="N299" s="36"/>
      <c r="O299" s="36"/>
      <c r="P299" s="36"/>
      <c r="Q299" s="36"/>
      <c r="R299" s="36"/>
      <c r="S299" s="36"/>
      <c r="T299" s="36"/>
      <c r="U299" s="36"/>
      <c r="V299" s="36"/>
      <c r="W299" s="36"/>
      <c r="X299" s="36"/>
      <c r="Y299" s="36"/>
    </row>
    <row r="300" spans="1:25" s="32" customFormat="1" ht="16.5" customHeight="1" x14ac:dyDescent="0.2">
      <c r="A300" s="320" t="s">
        <v>725</v>
      </c>
      <c r="B300" s="320"/>
      <c r="C300" s="320"/>
      <c r="D300" s="148">
        <f>16.35*2+15.85*2</f>
        <v>64.400000000000006</v>
      </c>
      <c r="E300" s="148"/>
      <c r="F300" s="148">
        <f t="shared" ref="F300:F309" si="15">2.9-0.5</f>
        <v>2.4</v>
      </c>
      <c r="G300" s="148">
        <v>7</v>
      </c>
      <c r="H300" s="148"/>
      <c r="I300" s="148">
        <f>(4*1.2*0.6+4*1.2*1.2+4*1.8*1.2+4*0.8*2.1)*7</f>
        <v>168</v>
      </c>
      <c r="J300" s="170">
        <f t="shared" si="14"/>
        <v>913.92000000000007</v>
      </c>
      <c r="K300" s="36"/>
      <c r="L300" s="36"/>
      <c r="M300" s="36"/>
      <c r="N300" s="36"/>
      <c r="O300" s="36"/>
      <c r="P300" s="36"/>
      <c r="Q300" s="36"/>
      <c r="R300" s="36"/>
      <c r="S300" s="36"/>
      <c r="T300" s="36"/>
      <c r="U300" s="36"/>
      <c r="V300" s="36"/>
      <c r="W300" s="36"/>
      <c r="X300" s="36"/>
      <c r="Y300" s="36"/>
    </row>
    <row r="301" spans="1:25" s="32" customFormat="1" ht="16.5" customHeight="1" x14ac:dyDescent="0.2">
      <c r="A301" s="320" t="s">
        <v>726</v>
      </c>
      <c r="B301" s="320"/>
      <c r="C301" s="320"/>
      <c r="D301" s="148">
        <f>4.69*4+3.9*2</f>
        <v>26.560000000000002</v>
      </c>
      <c r="E301" s="148"/>
      <c r="F301" s="148">
        <f t="shared" si="15"/>
        <v>2.4</v>
      </c>
      <c r="G301" s="148">
        <v>7</v>
      </c>
      <c r="H301" s="148"/>
      <c r="I301" s="148">
        <f>(8*1.2*1.2+0.8*1.6+2*0.6*1.2)*7</f>
        <v>99.68</v>
      </c>
      <c r="J301" s="170">
        <f t="shared" si="14"/>
        <v>346.52799999999996</v>
      </c>
      <c r="K301" s="36"/>
      <c r="L301" s="36"/>
      <c r="M301" s="36"/>
      <c r="N301" s="36"/>
      <c r="O301" s="36"/>
      <c r="P301" s="36"/>
      <c r="Q301" s="36"/>
      <c r="R301" s="36"/>
      <c r="S301" s="36"/>
      <c r="T301" s="36"/>
      <c r="U301" s="36"/>
      <c r="V301" s="36"/>
      <c r="W301" s="36"/>
      <c r="X301" s="36"/>
      <c r="Y301" s="36"/>
    </row>
    <row r="302" spans="1:25" s="32" customFormat="1" ht="16.5" customHeight="1" x14ac:dyDescent="0.2">
      <c r="A302" s="320" t="s">
        <v>727</v>
      </c>
      <c r="B302" s="320"/>
      <c r="C302" s="320"/>
      <c r="D302" s="148">
        <f>16.35*2+15.85*2</f>
        <v>64.400000000000006</v>
      </c>
      <c r="E302" s="148"/>
      <c r="F302" s="148">
        <f t="shared" si="15"/>
        <v>2.4</v>
      </c>
      <c r="G302" s="148">
        <v>7</v>
      </c>
      <c r="H302" s="148"/>
      <c r="I302" s="148">
        <f>(4*1.2*0.6+4*1.2*1.2+4*1.8*1.2+4*0.8*2.1)*7</f>
        <v>168</v>
      </c>
      <c r="J302" s="170">
        <f t="shared" si="14"/>
        <v>913.92000000000007</v>
      </c>
      <c r="K302" s="36"/>
      <c r="L302" s="36"/>
      <c r="M302" s="36"/>
      <c r="N302" s="36"/>
      <c r="O302" s="36"/>
      <c r="P302" s="36"/>
      <c r="Q302" s="36"/>
      <c r="R302" s="36"/>
      <c r="S302" s="36"/>
      <c r="T302" s="36"/>
      <c r="U302" s="36"/>
      <c r="V302" s="36"/>
      <c r="W302" s="36"/>
      <c r="X302" s="36"/>
      <c r="Y302" s="36"/>
    </row>
    <row r="303" spans="1:25" s="32" customFormat="1" ht="16.5" customHeight="1" x14ac:dyDescent="0.2">
      <c r="A303" s="320" t="s">
        <v>728</v>
      </c>
      <c r="B303" s="320"/>
      <c r="C303" s="320"/>
      <c r="D303" s="148">
        <f>4.69*4+3.9*2</f>
        <v>26.560000000000002</v>
      </c>
      <c r="E303" s="148"/>
      <c r="F303" s="148">
        <f t="shared" si="15"/>
        <v>2.4</v>
      </c>
      <c r="G303" s="148">
        <v>7</v>
      </c>
      <c r="H303" s="148"/>
      <c r="I303" s="148">
        <f>(8*1.2*1.2+0.8*1.6+2*0.6*1.2)*7</f>
        <v>99.68</v>
      </c>
      <c r="J303" s="170">
        <f t="shared" si="14"/>
        <v>346.52799999999996</v>
      </c>
      <c r="K303" s="36"/>
      <c r="L303" s="36"/>
      <c r="M303" s="36"/>
      <c r="N303" s="36"/>
      <c r="O303" s="36"/>
      <c r="P303" s="36"/>
      <c r="Q303" s="36"/>
      <c r="R303" s="36"/>
      <c r="S303" s="36"/>
      <c r="T303" s="36"/>
      <c r="U303" s="36"/>
      <c r="V303" s="36"/>
      <c r="W303" s="36"/>
      <c r="X303" s="36"/>
      <c r="Y303" s="36"/>
    </row>
    <row r="304" spans="1:25" s="32" customFormat="1" ht="16.5" customHeight="1" x14ac:dyDescent="0.2">
      <c r="A304" s="320" t="s">
        <v>729</v>
      </c>
      <c r="B304" s="320"/>
      <c r="C304" s="320"/>
      <c r="D304" s="148">
        <f>16.35*2+15.85*2</f>
        <v>64.400000000000006</v>
      </c>
      <c r="E304" s="148"/>
      <c r="F304" s="148">
        <f t="shared" si="15"/>
        <v>2.4</v>
      </c>
      <c r="G304" s="148">
        <v>7</v>
      </c>
      <c r="H304" s="148"/>
      <c r="I304" s="148">
        <f>(4*1.2*0.6+4*1.2*1.2+4*1.8*1.2+4*0.8*2.1)*7</f>
        <v>168</v>
      </c>
      <c r="J304" s="170">
        <f t="shared" si="14"/>
        <v>913.92000000000007</v>
      </c>
      <c r="K304" s="36"/>
      <c r="L304" s="36"/>
      <c r="M304" s="36"/>
      <c r="N304" s="36"/>
      <c r="O304" s="36"/>
      <c r="P304" s="36"/>
      <c r="Q304" s="36"/>
      <c r="R304" s="36"/>
      <c r="S304" s="36"/>
      <c r="T304" s="36"/>
      <c r="U304" s="36"/>
      <c r="V304" s="36"/>
      <c r="W304" s="36"/>
      <c r="X304" s="36"/>
      <c r="Y304" s="36"/>
    </row>
    <row r="305" spans="1:25" s="32" customFormat="1" ht="16.5" customHeight="1" x14ac:dyDescent="0.2">
      <c r="A305" s="320" t="s">
        <v>730</v>
      </c>
      <c r="B305" s="320"/>
      <c r="C305" s="320"/>
      <c r="D305" s="148">
        <f>4.69*4+3.9*2</f>
        <v>26.560000000000002</v>
      </c>
      <c r="E305" s="148"/>
      <c r="F305" s="148">
        <f t="shared" si="15"/>
        <v>2.4</v>
      </c>
      <c r="G305" s="148">
        <v>7</v>
      </c>
      <c r="H305" s="148"/>
      <c r="I305" s="148">
        <f>(8*1.2*1.2+2*0.6*1.2)*7</f>
        <v>90.72</v>
      </c>
      <c r="J305" s="170">
        <f t="shared" si="14"/>
        <v>355.48799999999994</v>
      </c>
      <c r="K305" s="36"/>
      <c r="L305" s="36"/>
      <c r="M305" s="36"/>
      <c r="N305" s="36"/>
      <c r="O305" s="36"/>
      <c r="P305" s="36"/>
      <c r="Q305" s="36"/>
      <c r="R305" s="36"/>
      <c r="S305" s="36"/>
      <c r="T305" s="36"/>
      <c r="U305" s="36"/>
      <c r="V305" s="36"/>
      <c r="W305" s="36"/>
      <c r="X305" s="36"/>
      <c r="Y305" s="36"/>
    </row>
    <row r="306" spans="1:25" s="32" customFormat="1" ht="16.5" customHeight="1" x14ac:dyDescent="0.2">
      <c r="A306" s="320" t="s">
        <v>731</v>
      </c>
      <c r="B306" s="320"/>
      <c r="C306" s="320"/>
      <c r="D306" s="148">
        <f>16.35*2+15.85*2</f>
        <v>64.400000000000006</v>
      </c>
      <c r="E306" s="148"/>
      <c r="F306" s="148">
        <f t="shared" si="15"/>
        <v>2.4</v>
      </c>
      <c r="G306" s="148">
        <v>7</v>
      </c>
      <c r="H306" s="148"/>
      <c r="I306" s="148">
        <f>(4*1.2*0.6+4*1.2*1.2+4*1.8*1.2+4*0.8*2.1)*7</f>
        <v>168</v>
      </c>
      <c r="J306" s="170">
        <f t="shared" si="14"/>
        <v>913.92000000000007</v>
      </c>
      <c r="K306" s="36"/>
      <c r="L306" s="36"/>
      <c r="M306" s="36"/>
      <c r="N306" s="36"/>
      <c r="O306" s="36"/>
      <c r="P306" s="36"/>
      <c r="Q306" s="36"/>
      <c r="R306" s="36"/>
      <c r="S306" s="36"/>
      <c r="T306" s="36"/>
      <c r="U306" s="36"/>
      <c r="V306" s="36"/>
      <c r="W306" s="36"/>
      <c r="X306" s="36"/>
      <c r="Y306" s="36"/>
    </row>
    <row r="307" spans="1:25" s="32" customFormat="1" ht="16.5" customHeight="1" x14ac:dyDescent="0.2">
      <c r="A307" s="403" t="s">
        <v>732</v>
      </c>
      <c r="B307" s="404"/>
      <c r="C307" s="405"/>
      <c r="D307" s="148">
        <f>3.9+4.42</f>
        <v>8.32</v>
      </c>
      <c r="E307" s="148"/>
      <c r="F307" s="148">
        <f t="shared" si="15"/>
        <v>2.4</v>
      </c>
      <c r="G307" s="148">
        <v>7</v>
      </c>
      <c r="H307" s="148"/>
      <c r="I307" s="148"/>
      <c r="J307" s="170">
        <f t="shared" si="14"/>
        <v>139.77600000000001</v>
      </c>
      <c r="K307" s="36"/>
      <c r="L307" s="36"/>
      <c r="M307" s="36"/>
      <c r="N307" s="36"/>
      <c r="O307" s="36"/>
      <c r="P307" s="36"/>
      <c r="Q307" s="36"/>
      <c r="R307" s="36"/>
      <c r="S307" s="36"/>
      <c r="T307" s="36"/>
      <c r="U307" s="36"/>
      <c r="V307" s="36"/>
      <c r="W307" s="36"/>
      <c r="X307" s="36"/>
      <c r="Y307" s="36"/>
    </row>
    <row r="308" spans="1:25" s="32" customFormat="1" ht="16.5" customHeight="1" x14ac:dyDescent="0.2">
      <c r="A308" s="403" t="s">
        <v>733</v>
      </c>
      <c r="B308" s="404"/>
      <c r="C308" s="405"/>
      <c r="D308" s="148">
        <f>4.3*2</f>
        <v>8.6</v>
      </c>
      <c r="E308" s="148"/>
      <c r="F308" s="148">
        <f t="shared" si="15"/>
        <v>2.4</v>
      </c>
      <c r="G308" s="148">
        <v>7</v>
      </c>
      <c r="H308" s="148"/>
      <c r="I308" s="148">
        <f>0.8*0.6*2*7</f>
        <v>6.72</v>
      </c>
      <c r="J308" s="170">
        <f t="shared" si="14"/>
        <v>137.76</v>
      </c>
      <c r="K308" s="36"/>
      <c r="L308" s="36"/>
      <c r="M308" s="36"/>
      <c r="N308" s="36"/>
      <c r="O308" s="36"/>
      <c r="P308" s="36"/>
      <c r="Q308" s="36"/>
      <c r="R308" s="36"/>
      <c r="S308" s="36"/>
      <c r="T308" s="36"/>
      <c r="U308" s="36"/>
      <c r="V308" s="36"/>
      <c r="W308" s="36"/>
      <c r="X308" s="36"/>
      <c r="Y308" s="36"/>
    </row>
    <row r="309" spans="1:25" s="32" customFormat="1" ht="16.5" customHeight="1" x14ac:dyDescent="0.2">
      <c r="A309" s="320" t="s">
        <v>734</v>
      </c>
      <c r="B309" s="320"/>
      <c r="C309" s="320"/>
      <c r="D309" s="148">
        <f>(5.02+5.49+17.09+5.49+7.1)*2</f>
        <v>80.38000000000001</v>
      </c>
      <c r="E309" s="148"/>
      <c r="F309" s="148">
        <f t="shared" si="15"/>
        <v>2.4</v>
      </c>
      <c r="G309" s="148">
        <v>7</v>
      </c>
      <c r="H309" s="148"/>
      <c r="I309" s="148"/>
      <c r="J309" s="170">
        <f t="shared" si="14"/>
        <v>1350.384</v>
      </c>
      <c r="K309" s="36"/>
      <c r="L309" s="36"/>
      <c r="M309" s="36"/>
      <c r="N309" s="36"/>
      <c r="O309" s="36"/>
      <c r="P309" s="36"/>
      <c r="Q309" s="36"/>
      <c r="R309" s="36"/>
      <c r="S309" s="36"/>
      <c r="T309" s="36"/>
      <c r="U309" s="36"/>
      <c r="V309" s="36"/>
      <c r="W309" s="36"/>
      <c r="X309" s="36"/>
      <c r="Y309" s="36"/>
    </row>
    <row r="310" spans="1:25" ht="16.5" customHeight="1" x14ac:dyDescent="0.2">
      <c r="A310" s="342" t="str">
        <f>"TOTAL - "&amp;'Planilha orçamentária'!F44</f>
        <v>TOTAL - M3</v>
      </c>
      <c r="B310" s="342"/>
      <c r="C310" s="342"/>
      <c r="D310" s="342"/>
      <c r="E310" s="342"/>
      <c r="F310" s="342"/>
      <c r="G310" s="342"/>
      <c r="H310" s="342"/>
      <c r="I310" s="342"/>
      <c r="J310" s="149">
        <f>SUM(J299:J309)</f>
        <v>6678.6720000000005</v>
      </c>
      <c r="K310" s="10"/>
      <c r="L310" s="10"/>
      <c r="M310" s="10"/>
      <c r="N310" s="10"/>
      <c r="O310" s="10"/>
      <c r="P310" s="10"/>
      <c r="Q310" s="10"/>
      <c r="R310" s="10"/>
      <c r="S310" s="10"/>
      <c r="T310" s="10"/>
      <c r="U310" s="10"/>
      <c r="V310" s="10"/>
      <c r="W310" s="10"/>
      <c r="X310" s="10"/>
      <c r="Y310" s="10"/>
    </row>
    <row r="311" spans="1:25" ht="16.5" customHeight="1" x14ac:dyDescent="0.2">
      <c r="A311" s="184" t="str">
        <f>'Planilha orçamentária'!A45</f>
        <v>7.2</v>
      </c>
      <c r="B311" s="343" t="str">
        <f>'Planilha orçamentária'!D45</f>
        <v>Alvenaria de vedação com tijolo cerâmico furado, esp. 9cm, para revestimento, inclusive argamassa para assentamento</v>
      </c>
      <c r="C311" s="344"/>
      <c r="D311" s="344"/>
      <c r="E311" s="344"/>
      <c r="F311" s="344"/>
      <c r="G311" s="344"/>
      <c r="H311" s="344"/>
      <c r="I311" s="344"/>
      <c r="J311" s="344"/>
      <c r="K311" s="10"/>
      <c r="L311" s="10"/>
      <c r="M311" s="10"/>
      <c r="N311" s="10"/>
      <c r="O311" s="10"/>
      <c r="P311" s="10"/>
      <c r="Q311" s="10"/>
      <c r="R311" s="10"/>
      <c r="S311" s="10"/>
      <c r="T311" s="10"/>
      <c r="U311" s="10"/>
      <c r="V311" s="10"/>
      <c r="W311" s="10"/>
      <c r="X311" s="10"/>
      <c r="Y311" s="10"/>
    </row>
    <row r="312" spans="1:25" ht="16.5" customHeight="1" x14ac:dyDescent="0.2">
      <c r="A312" s="327" t="s">
        <v>120</v>
      </c>
      <c r="B312" s="328"/>
      <c r="C312" s="328"/>
      <c r="D312" s="182" t="s">
        <v>307</v>
      </c>
      <c r="E312" s="182" t="s">
        <v>122</v>
      </c>
      <c r="F312" s="182" t="s">
        <v>123</v>
      </c>
      <c r="G312" s="181" t="s">
        <v>124</v>
      </c>
      <c r="H312" s="181" t="s">
        <v>125</v>
      </c>
      <c r="I312" s="182" t="s">
        <v>126</v>
      </c>
      <c r="J312" s="182" t="s">
        <v>113</v>
      </c>
      <c r="K312" s="10"/>
      <c r="L312" s="10"/>
      <c r="M312" s="10"/>
      <c r="N312" s="10"/>
      <c r="O312" s="10"/>
      <c r="P312" s="10"/>
      <c r="Q312" s="10"/>
      <c r="R312" s="10"/>
      <c r="S312" s="10"/>
      <c r="T312" s="10"/>
      <c r="U312" s="10"/>
      <c r="V312" s="10"/>
      <c r="W312" s="10"/>
      <c r="X312" s="10"/>
      <c r="Y312" s="10"/>
    </row>
    <row r="313" spans="1:25" s="169" customFormat="1" ht="16.5" customHeight="1" x14ac:dyDescent="0.2">
      <c r="A313" s="403" t="s">
        <v>735</v>
      </c>
      <c r="B313" s="404"/>
      <c r="C313" s="405"/>
      <c r="D313" s="148">
        <f>4.69*4+1.21*4+2.57*4+1.7*4+3.45*2+1.73</f>
        <v>49.309999999999995</v>
      </c>
      <c r="E313" s="148"/>
      <c r="F313" s="148">
        <f>2.9-0.5</f>
        <v>2.4</v>
      </c>
      <c r="G313" s="148">
        <v>7</v>
      </c>
      <c r="H313" s="148"/>
      <c r="I313" s="148">
        <f>(6*0.7*2.1+2*0.8*2.1)*7</f>
        <v>85.259999999999991</v>
      </c>
      <c r="J313" s="170">
        <f>PRODUCT(D313:H313)-I313</f>
        <v>743.14799999999991</v>
      </c>
      <c r="K313" s="171"/>
      <c r="L313" s="171"/>
      <c r="M313" s="171"/>
      <c r="N313" s="171"/>
      <c r="O313" s="171"/>
      <c r="P313" s="171"/>
      <c r="Q313" s="171"/>
      <c r="R313" s="171"/>
      <c r="S313" s="171"/>
      <c r="T313" s="171"/>
      <c r="U313" s="171"/>
      <c r="V313" s="171"/>
      <c r="W313" s="171"/>
      <c r="X313" s="171"/>
      <c r="Y313" s="171"/>
    </row>
    <row r="314" spans="1:25" s="169" customFormat="1" ht="16.5" customHeight="1" x14ac:dyDescent="0.2">
      <c r="A314" s="403" t="s">
        <v>725</v>
      </c>
      <c r="B314" s="404"/>
      <c r="C314" s="405"/>
      <c r="D314" s="148">
        <f>2.9*4+1.2*4+1.4*4+2.05*2+0.5*2</f>
        <v>27.1</v>
      </c>
      <c r="E314" s="148"/>
      <c r="F314" s="148">
        <f t="shared" ref="F314:F320" si="16">2.9-0.5</f>
        <v>2.4</v>
      </c>
      <c r="G314" s="148">
        <v>7</v>
      </c>
      <c r="H314" s="148"/>
      <c r="I314" s="148">
        <f>(3*0.7*2.1+0.8*2.1)*7</f>
        <v>42.629999999999995</v>
      </c>
      <c r="J314" s="170">
        <f t="shared" ref="J314:J320" si="17">PRODUCT(D314:H314)-I314</f>
        <v>412.65000000000003</v>
      </c>
      <c r="K314" s="171"/>
      <c r="L314" s="171"/>
      <c r="M314" s="171"/>
      <c r="N314" s="171"/>
      <c r="O314" s="171"/>
      <c r="P314" s="171"/>
      <c r="Q314" s="171"/>
      <c r="R314" s="171"/>
      <c r="S314" s="171"/>
      <c r="T314" s="171"/>
      <c r="U314" s="171"/>
      <c r="V314" s="171"/>
      <c r="W314" s="171"/>
      <c r="X314" s="171"/>
      <c r="Y314" s="171"/>
    </row>
    <row r="315" spans="1:25" s="169" customFormat="1" ht="16.5" customHeight="1" x14ac:dyDescent="0.2">
      <c r="A315" s="403" t="s">
        <v>726</v>
      </c>
      <c r="B315" s="404"/>
      <c r="C315" s="405"/>
      <c r="D315" s="148">
        <f>4.69*4+1.21*4+2.57*4+1.7*4+3.45*2+1.73</f>
        <v>49.309999999999995</v>
      </c>
      <c r="E315" s="148"/>
      <c r="F315" s="148">
        <f t="shared" si="16"/>
        <v>2.4</v>
      </c>
      <c r="G315" s="148">
        <v>7</v>
      </c>
      <c r="H315" s="148"/>
      <c r="I315" s="148">
        <f>(6*0.7*2.1+2*0.8*2.1)*7</f>
        <v>85.259999999999991</v>
      </c>
      <c r="J315" s="170">
        <f t="shared" si="17"/>
        <v>743.14799999999991</v>
      </c>
      <c r="K315" s="171"/>
      <c r="L315" s="171"/>
      <c r="M315" s="171"/>
      <c r="N315" s="171"/>
      <c r="O315" s="171"/>
      <c r="P315" s="171"/>
      <c r="Q315" s="171"/>
      <c r="R315" s="171"/>
      <c r="S315" s="171"/>
      <c r="T315" s="171"/>
      <c r="U315" s="171"/>
      <c r="V315" s="171"/>
      <c r="W315" s="171"/>
      <c r="X315" s="171"/>
      <c r="Y315" s="171"/>
    </row>
    <row r="316" spans="1:25" s="169" customFormat="1" ht="16.5" customHeight="1" x14ac:dyDescent="0.2">
      <c r="A316" s="403" t="s">
        <v>727</v>
      </c>
      <c r="B316" s="404"/>
      <c r="C316" s="405"/>
      <c r="D316" s="148">
        <f>2.9*4+1.2*4+1.4*4+2.05*2+0.5*2</f>
        <v>27.1</v>
      </c>
      <c r="E316" s="148"/>
      <c r="F316" s="148">
        <f t="shared" si="16"/>
        <v>2.4</v>
      </c>
      <c r="G316" s="148">
        <v>7</v>
      </c>
      <c r="H316" s="148"/>
      <c r="I316" s="148">
        <f>(3*0.7*2.1+0.8*2.1)*7</f>
        <v>42.629999999999995</v>
      </c>
      <c r="J316" s="170">
        <f t="shared" si="17"/>
        <v>412.65000000000003</v>
      </c>
      <c r="K316" s="171"/>
      <c r="L316" s="171"/>
      <c r="M316" s="171"/>
      <c r="N316" s="171"/>
      <c r="O316" s="171"/>
      <c r="P316" s="171"/>
      <c r="Q316" s="171"/>
      <c r="R316" s="171"/>
      <c r="S316" s="171"/>
      <c r="T316" s="171"/>
      <c r="U316" s="171"/>
      <c r="V316" s="171"/>
      <c r="W316" s="171"/>
      <c r="X316" s="171"/>
      <c r="Y316" s="171"/>
    </row>
    <row r="317" spans="1:25" s="169" customFormat="1" ht="16.5" customHeight="1" x14ac:dyDescent="0.2">
      <c r="A317" s="403" t="s">
        <v>728</v>
      </c>
      <c r="B317" s="404"/>
      <c r="C317" s="405"/>
      <c r="D317" s="148">
        <f>4.69*4+1.21*4+2.57*4+1.7*4+3.45*2+1.73</f>
        <v>49.309999999999995</v>
      </c>
      <c r="E317" s="148"/>
      <c r="F317" s="148">
        <f t="shared" si="16"/>
        <v>2.4</v>
      </c>
      <c r="G317" s="148">
        <v>7</v>
      </c>
      <c r="H317" s="148"/>
      <c r="I317" s="148">
        <f>(6*0.7*2.1+2*0.8*2.1)*7</f>
        <v>85.259999999999991</v>
      </c>
      <c r="J317" s="170">
        <f t="shared" si="17"/>
        <v>743.14799999999991</v>
      </c>
      <c r="K317" s="171"/>
      <c r="L317" s="171"/>
      <c r="M317" s="171"/>
      <c r="N317" s="171"/>
      <c r="O317" s="171"/>
      <c r="P317" s="171"/>
      <c r="Q317" s="171"/>
      <c r="R317" s="171"/>
      <c r="S317" s="171"/>
      <c r="T317" s="171"/>
      <c r="U317" s="171"/>
      <c r="V317" s="171"/>
      <c r="W317" s="171"/>
      <c r="X317" s="171"/>
      <c r="Y317" s="171"/>
    </row>
    <row r="318" spans="1:25" s="169" customFormat="1" ht="16.5" customHeight="1" x14ac:dyDescent="0.2">
      <c r="A318" s="403" t="s">
        <v>729</v>
      </c>
      <c r="B318" s="404"/>
      <c r="C318" s="405"/>
      <c r="D318" s="148">
        <f>2.9*4+1.2*4+1.4*4+2.05*2+0.5*2</f>
        <v>27.1</v>
      </c>
      <c r="E318" s="148"/>
      <c r="F318" s="148">
        <f t="shared" si="16"/>
        <v>2.4</v>
      </c>
      <c r="G318" s="148">
        <v>7</v>
      </c>
      <c r="H318" s="148"/>
      <c r="I318" s="148">
        <f>(3*0.7*2.1+0.8*2.1)*7</f>
        <v>42.629999999999995</v>
      </c>
      <c r="J318" s="170">
        <f t="shared" si="17"/>
        <v>412.65000000000003</v>
      </c>
      <c r="K318" s="171"/>
      <c r="L318" s="171"/>
      <c r="M318" s="171"/>
      <c r="N318" s="171"/>
      <c r="O318" s="171"/>
      <c r="P318" s="171"/>
      <c r="Q318" s="171"/>
      <c r="R318" s="171"/>
      <c r="S318" s="171"/>
      <c r="T318" s="171"/>
      <c r="U318" s="171"/>
      <c r="V318" s="171"/>
      <c r="W318" s="171"/>
      <c r="X318" s="171"/>
      <c r="Y318" s="171"/>
    </row>
    <row r="319" spans="1:25" s="169" customFormat="1" ht="16.5" customHeight="1" x14ac:dyDescent="0.2">
      <c r="A319" s="403" t="s">
        <v>730</v>
      </c>
      <c r="B319" s="404"/>
      <c r="C319" s="405"/>
      <c r="D319" s="148">
        <f>4.69*4+1.21*4+2.57*4+1.7*4+3.45*2+1.73</f>
        <v>49.309999999999995</v>
      </c>
      <c r="E319" s="148"/>
      <c r="F319" s="148">
        <f t="shared" si="16"/>
        <v>2.4</v>
      </c>
      <c r="G319" s="148">
        <v>7</v>
      </c>
      <c r="H319" s="148"/>
      <c r="I319" s="148">
        <f>(6*0.7*2.1+2*0.8*2.1)*7</f>
        <v>85.259999999999991</v>
      </c>
      <c r="J319" s="170">
        <f t="shared" si="17"/>
        <v>743.14799999999991</v>
      </c>
      <c r="K319" s="171"/>
      <c r="L319" s="171"/>
      <c r="M319" s="171"/>
      <c r="N319" s="171"/>
      <c r="O319" s="171"/>
      <c r="P319" s="171"/>
      <c r="Q319" s="171"/>
      <c r="R319" s="171"/>
      <c r="S319" s="171"/>
      <c r="T319" s="171"/>
      <c r="U319" s="171"/>
      <c r="V319" s="171"/>
      <c r="W319" s="171"/>
      <c r="X319" s="171"/>
      <c r="Y319" s="171"/>
    </row>
    <row r="320" spans="1:25" s="169" customFormat="1" ht="16.5" customHeight="1" x14ac:dyDescent="0.2">
      <c r="A320" s="403" t="s">
        <v>731</v>
      </c>
      <c r="B320" s="404"/>
      <c r="C320" s="405"/>
      <c r="D320" s="148">
        <f>2.9*4+1.2*4+1.4*4+2.05*2+0.5*2</f>
        <v>27.1</v>
      </c>
      <c r="E320" s="148"/>
      <c r="F320" s="148">
        <f t="shared" si="16"/>
        <v>2.4</v>
      </c>
      <c r="G320" s="148">
        <v>7</v>
      </c>
      <c r="H320" s="148"/>
      <c r="I320" s="148">
        <f>(3*0.7*2.1+0.8*2.1)*7</f>
        <v>42.629999999999995</v>
      </c>
      <c r="J320" s="170">
        <f t="shared" si="17"/>
        <v>412.65000000000003</v>
      </c>
      <c r="K320" s="171"/>
      <c r="L320" s="171"/>
      <c r="M320" s="171"/>
      <c r="N320" s="171"/>
      <c r="O320" s="171"/>
      <c r="P320" s="171"/>
      <c r="Q320" s="171"/>
      <c r="R320" s="171"/>
      <c r="S320" s="171"/>
      <c r="T320" s="171"/>
      <c r="U320" s="171"/>
      <c r="V320" s="171"/>
      <c r="W320" s="171"/>
      <c r="X320" s="171"/>
      <c r="Y320" s="171"/>
    </row>
    <row r="321" spans="1:25" ht="16.5" customHeight="1" x14ac:dyDescent="0.2">
      <c r="A321" s="342" t="str">
        <f>"TOTAL - "&amp;'Planilha orçamentária'!F45</f>
        <v>TOTAL - M2</v>
      </c>
      <c r="B321" s="342"/>
      <c r="C321" s="342"/>
      <c r="D321" s="342"/>
      <c r="E321" s="342"/>
      <c r="F321" s="342"/>
      <c r="G321" s="342"/>
      <c r="H321" s="342"/>
      <c r="I321" s="342"/>
      <c r="J321" s="149">
        <f>SUM(J313:J320)</f>
        <v>4623.1919999999991</v>
      </c>
      <c r="K321" s="10"/>
      <c r="L321" s="10"/>
      <c r="M321" s="10"/>
      <c r="N321" s="10"/>
      <c r="O321" s="10"/>
      <c r="P321" s="10"/>
      <c r="Q321" s="10"/>
      <c r="R321" s="10"/>
      <c r="S321" s="10"/>
      <c r="T321" s="10"/>
      <c r="U321" s="10"/>
      <c r="V321" s="10"/>
      <c r="W321" s="10"/>
      <c r="X321" s="10"/>
      <c r="Y321" s="10"/>
    </row>
    <row r="322" spans="1:25" ht="18.75" customHeight="1" x14ac:dyDescent="0.2">
      <c r="A322" s="35">
        <f>'Planilha orçamentária'!A47</f>
        <v>8</v>
      </c>
      <c r="B322" s="397" t="str">
        <f>'Planilha orçamentária'!D47</f>
        <v>PISO E REVESTIMENTO</v>
      </c>
      <c r="C322" s="393"/>
      <c r="D322" s="393"/>
      <c r="E322" s="393"/>
      <c r="F322" s="393"/>
      <c r="G322" s="393"/>
      <c r="H322" s="393"/>
      <c r="I322" s="393"/>
      <c r="J322" s="393"/>
      <c r="K322" s="10"/>
      <c r="L322" s="10"/>
      <c r="M322" s="10"/>
      <c r="N322" s="10"/>
      <c r="O322" s="10"/>
      <c r="P322" s="10"/>
      <c r="Q322" s="10"/>
      <c r="R322" s="10"/>
      <c r="S322" s="10"/>
      <c r="T322" s="10"/>
      <c r="U322" s="10"/>
      <c r="V322" s="10"/>
      <c r="W322" s="10"/>
      <c r="X322" s="10"/>
      <c r="Y322" s="10"/>
    </row>
    <row r="323" spans="1:25" ht="16.5" customHeight="1" x14ac:dyDescent="0.2">
      <c r="A323" s="184" t="str">
        <f>'Planilha orçamentária'!A48</f>
        <v>8.1</v>
      </c>
      <c r="B323" s="343" t="str">
        <f>'Planilha orçamentária'!D48</f>
        <v>Lastro de concreto magro, inclusive transporte, lançamento e adensamento</v>
      </c>
      <c r="C323" s="344"/>
      <c r="D323" s="344"/>
      <c r="E323" s="344"/>
      <c r="F323" s="344"/>
      <c r="G323" s="344"/>
      <c r="H323" s="344"/>
      <c r="I323" s="344"/>
      <c r="J323" s="344"/>
      <c r="K323" s="10"/>
      <c r="L323" s="10"/>
      <c r="M323" s="10"/>
      <c r="N323" s="10"/>
      <c r="O323" s="10"/>
      <c r="P323" s="10"/>
      <c r="Q323" s="10"/>
      <c r="R323" s="10"/>
      <c r="S323" s="10"/>
      <c r="T323" s="10"/>
      <c r="U323" s="10"/>
      <c r="V323" s="10"/>
      <c r="W323" s="10"/>
      <c r="X323" s="10"/>
      <c r="Y323" s="10"/>
    </row>
    <row r="324" spans="1:25" ht="16.5" customHeight="1" x14ac:dyDescent="0.2">
      <c r="A324" s="327" t="s">
        <v>120</v>
      </c>
      <c r="B324" s="328"/>
      <c r="C324" s="328"/>
      <c r="D324" s="182" t="s">
        <v>121</v>
      </c>
      <c r="E324" s="182" t="s">
        <v>122</v>
      </c>
      <c r="F324" s="182" t="s">
        <v>123</v>
      </c>
      <c r="G324" s="181" t="s">
        <v>124</v>
      </c>
      <c r="H324" s="181" t="s">
        <v>125</v>
      </c>
      <c r="I324" s="182" t="s">
        <v>126</v>
      </c>
      <c r="J324" s="182" t="s">
        <v>113</v>
      </c>
      <c r="K324" s="10"/>
      <c r="L324" s="10"/>
      <c r="M324" s="10"/>
      <c r="N324" s="10"/>
      <c r="O324" s="10"/>
      <c r="P324" s="10"/>
      <c r="Q324" s="10"/>
      <c r="R324" s="10"/>
      <c r="S324" s="10"/>
      <c r="T324" s="10"/>
      <c r="U324" s="10"/>
      <c r="V324" s="10"/>
      <c r="W324" s="10"/>
      <c r="X324" s="10"/>
      <c r="Y324" s="10"/>
    </row>
    <row r="325" spans="1:25" ht="18.75" customHeight="1" x14ac:dyDescent="0.2">
      <c r="A325" s="400" t="s">
        <v>318</v>
      </c>
      <c r="B325" s="401"/>
      <c r="C325" s="401"/>
      <c r="D325" s="401"/>
      <c r="E325" s="401"/>
      <c r="F325" s="401"/>
      <c r="G325" s="401"/>
      <c r="H325" s="401"/>
      <c r="I325" s="401"/>
      <c r="J325" s="402"/>
      <c r="K325" s="10"/>
      <c r="L325" s="10"/>
      <c r="M325" s="10"/>
      <c r="N325" s="10"/>
      <c r="O325" s="10"/>
      <c r="P325" s="10"/>
      <c r="Q325" s="10"/>
      <c r="R325" s="10"/>
      <c r="S325" s="10"/>
      <c r="T325" s="10"/>
      <c r="U325" s="10"/>
      <c r="V325" s="10"/>
      <c r="W325" s="10"/>
      <c r="X325" s="10"/>
      <c r="Y325" s="10"/>
    </row>
    <row r="326" spans="1:25" s="32" customFormat="1" ht="16.5" customHeight="1" x14ac:dyDescent="0.2">
      <c r="A326" s="316" t="s">
        <v>689</v>
      </c>
      <c r="B326" s="317"/>
      <c r="C326" s="317"/>
      <c r="D326" s="148">
        <v>4.6900000000000004</v>
      </c>
      <c r="E326" s="148">
        <v>0.15</v>
      </c>
      <c r="F326" s="148">
        <v>0.05</v>
      </c>
      <c r="G326" s="148">
        <v>7</v>
      </c>
      <c r="H326" s="148"/>
      <c r="I326" s="148"/>
      <c r="J326" s="170">
        <f t="shared" ref="J326:J365" si="18">PRODUCT(D326:H326)-I326</f>
        <v>0.24622500000000003</v>
      </c>
      <c r="K326" s="36"/>
      <c r="L326" s="36"/>
      <c r="M326" s="36"/>
      <c r="N326" s="36"/>
      <c r="O326" s="36"/>
      <c r="P326" s="36"/>
      <c r="Q326" s="36"/>
      <c r="R326" s="36"/>
      <c r="S326" s="36"/>
      <c r="T326" s="36"/>
      <c r="U326" s="36"/>
      <c r="V326" s="36"/>
      <c r="W326" s="36"/>
      <c r="X326" s="36"/>
      <c r="Y326" s="36"/>
    </row>
    <row r="327" spans="1:25" s="32" customFormat="1" ht="16.5" customHeight="1" x14ac:dyDescent="0.2">
      <c r="A327" s="316" t="s">
        <v>690</v>
      </c>
      <c r="B327" s="317"/>
      <c r="C327" s="317"/>
      <c r="D327" s="148">
        <v>4.6900000000000004</v>
      </c>
      <c r="E327" s="148">
        <v>0.15</v>
      </c>
      <c r="F327" s="148">
        <v>0.05</v>
      </c>
      <c r="G327" s="148">
        <v>7</v>
      </c>
      <c r="H327" s="148"/>
      <c r="I327" s="148"/>
      <c r="J327" s="170">
        <f t="shared" si="18"/>
        <v>0.24622500000000003</v>
      </c>
      <c r="K327" s="36"/>
      <c r="L327" s="36"/>
      <c r="M327" s="36"/>
      <c r="N327" s="36"/>
      <c r="O327" s="36"/>
      <c r="P327" s="36"/>
      <c r="Q327" s="36"/>
      <c r="R327" s="36"/>
      <c r="S327" s="36"/>
      <c r="T327" s="36"/>
      <c r="U327" s="36"/>
      <c r="V327" s="36"/>
      <c r="W327" s="36"/>
      <c r="X327" s="36"/>
      <c r="Y327" s="36"/>
    </row>
    <row r="328" spans="1:25" s="32" customFormat="1" ht="16.5" customHeight="1" x14ac:dyDescent="0.2">
      <c r="A328" s="316" t="s">
        <v>736</v>
      </c>
      <c r="B328" s="317"/>
      <c r="C328" s="317"/>
      <c r="D328" s="148">
        <v>4.6900000000000004</v>
      </c>
      <c r="E328" s="148">
        <v>0.15</v>
      </c>
      <c r="F328" s="148">
        <v>0.05</v>
      </c>
      <c r="G328" s="148">
        <v>7</v>
      </c>
      <c r="H328" s="148"/>
      <c r="I328" s="148"/>
      <c r="J328" s="170">
        <f t="shared" si="18"/>
        <v>0.24622500000000003</v>
      </c>
      <c r="K328" s="36"/>
      <c r="L328" s="36"/>
      <c r="M328" s="36"/>
      <c r="N328" s="36"/>
      <c r="O328" s="36"/>
      <c r="P328" s="36"/>
      <c r="Q328" s="36"/>
      <c r="R328" s="36"/>
      <c r="S328" s="36"/>
      <c r="T328" s="36"/>
      <c r="U328" s="36"/>
      <c r="V328" s="36"/>
      <c r="W328" s="36"/>
      <c r="X328" s="36"/>
      <c r="Y328" s="36"/>
    </row>
    <row r="329" spans="1:25" s="32" customFormat="1" ht="16.5" customHeight="1" x14ac:dyDescent="0.2">
      <c r="A329" s="316" t="s">
        <v>692</v>
      </c>
      <c r="B329" s="317"/>
      <c r="C329" s="317"/>
      <c r="D329" s="148">
        <v>4.6900000000000004</v>
      </c>
      <c r="E329" s="148">
        <v>0.15</v>
      </c>
      <c r="F329" s="148">
        <v>0.05</v>
      </c>
      <c r="G329" s="148">
        <v>7</v>
      </c>
      <c r="H329" s="148"/>
      <c r="I329" s="148"/>
      <c r="J329" s="170">
        <f t="shared" si="18"/>
        <v>0.24622500000000003</v>
      </c>
      <c r="K329" s="36"/>
      <c r="L329" s="36"/>
      <c r="M329" s="36"/>
      <c r="N329" s="36"/>
      <c r="O329" s="36"/>
      <c r="P329" s="36"/>
      <c r="Q329" s="36"/>
      <c r="R329" s="36"/>
      <c r="S329" s="36"/>
      <c r="T329" s="36"/>
      <c r="U329" s="36"/>
      <c r="V329" s="36"/>
      <c r="W329" s="36"/>
      <c r="X329" s="36"/>
      <c r="Y329" s="36"/>
    </row>
    <row r="330" spans="1:25" s="32" customFormat="1" ht="16.5" customHeight="1" x14ac:dyDescent="0.2">
      <c r="A330" s="316" t="s">
        <v>737</v>
      </c>
      <c r="B330" s="317"/>
      <c r="C330" s="317"/>
      <c r="D330" s="148">
        <v>0.93</v>
      </c>
      <c r="E330" s="148">
        <v>0.15</v>
      </c>
      <c r="F330" s="148">
        <v>0.05</v>
      </c>
      <c r="G330" s="148">
        <v>7</v>
      </c>
      <c r="H330" s="148"/>
      <c r="I330" s="148"/>
      <c r="J330" s="170">
        <f t="shared" si="18"/>
        <v>4.8825000000000007E-2</v>
      </c>
      <c r="K330" s="36"/>
      <c r="L330" s="36"/>
      <c r="M330" s="36"/>
      <c r="N330" s="36"/>
      <c r="O330" s="36"/>
      <c r="P330" s="36"/>
      <c r="Q330" s="36"/>
      <c r="R330" s="36"/>
      <c r="S330" s="36"/>
      <c r="T330" s="36"/>
      <c r="U330" s="36"/>
      <c r="V330" s="36"/>
      <c r="W330" s="36"/>
      <c r="X330" s="36"/>
      <c r="Y330" s="36"/>
    </row>
    <row r="331" spans="1:25" s="32" customFormat="1" ht="16.5" customHeight="1" x14ac:dyDescent="0.2">
      <c r="A331" s="316" t="s">
        <v>738</v>
      </c>
      <c r="B331" s="317"/>
      <c r="C331" s="317"/>
      <c r="D331" s="148">
        <v>0.93</v>
      </c>
      <c r="E331" s="148">
        <v>0.15</v>
      </c>
      <c r="F331" s="148">
        <v>0.05</v>
      </c>
      <c r="G331" s="148">
        <v>7</v>
      </c>
      <c r="H331" s="148"/>
      <c r="I331" s="148"/>
      <c r="J331" s="170">
        <f t="shared" si="18"/>
        <v>4.8825000000000007E-2</v>
      </c>
      <c r="K331" s="36"/>
      <c r="L331" s="36"/>
      <c r="M331" s="36"/>
      <c r="N331" s="36"/>
      <c r="O331" s="36"/>
      <c r="P331" s="36"/>
      <c r="Q331" s="36"/>
      <c r="R331" s="36"/>
      <c r="S331" s="36"/>
      <c r="T331" s="36"/>
      <c r="U331" s="36"/>
      <c r="V331" s="36"/>
      <c r="W331" s="36"/>
      <c r="X331" s="36"/>
      <c r="Y331" s="36"/>
    </row>
    <row r="332" spans="1:25" s="32" customFormat="1" ht="16.5" customHeight="1" x14ac:dyDescent="0.2">
      <c r="A332" s="316" t="s">
        <v>739</v>
      </c>
      <c r="B332" s="317"/>
      <c r="C332" s="317"/>
      <c r="D332" s="148">
        <v>3.9</v>
      </c>
      <c r="E332" s="148">
        <v>0.15</v>
      </c>
      <c r="F332" s="148">
        <v>0.05</v>
      </c>
      <c r="G332" s="148">
        <v>7</v>
      </c>
      <c r="H332" s="148"/>
      <c r="I332" s="148"/>
      <c r="J332" s="170">
        <f t="shared" si="18"/>
        <v>0.20474999999999999</v>
      </c>
      <c r="K332" s="36"/>
      <c r="L332" s="36"/>
      <c r="M332" s="36"/>
      <c r="N332" s="36"/>
      <c r="O332" s="36"/>
      <c r="P332" s="36"/>
      <c r="Q332" s="36"/>
      <c r="R332" s="36"/>
      <c r="S332" s="36"/>
      <c r="T332" s="36"/>
      <c r="U332" s="36"/>
      <c r="V332" s="36"/>
      <c r="W332" s="36"/>
      <c r="X332" s="36"/>
      <c r="Y332" s="36"/>
    </row>
    <row r="333" spans="1:25" s="32" customFormat="1" ht="16.5" customHeight="1" x14ac:dyDescent="0.2">
      <c r="A333" s="316" t="s">
        <v>740</v>
      </c>
      <c r="B333" s="317"/>
      <c r="C333" s="317"/>
      <c r="D333" s="148">
        <v>2.62</v>
      </c>
      <c r="E333" s="148">
        <v>0.15</v>
      </c>
      <c r="F333" s="148">
        <v>0.05</v>
      </c>
      <c r="G333" s="148">
        <v>7</v>
      </c>
      <c r="H333" s="148"/>
      <c r="I333" s="148"/>
      <c r="J333" s="170">
        <f t="shared" si="18"/>
        <v>0.13755000000000001</v>
      </c>
      <c r="K333" s="36"/>
      <c r="L333" s="36"/>
      <c r="M333" s="36"/>
      <c r="N333" s="36"/>
      <c r="O333" s="36"/>
      <c r="P333" s="36"/>
      <c r="Q333" s="36"/>
      <c r="R333" s="36"/>
      <c r="S333" s="36"/>
      <c r="T333" s="36"/>
      <c r="U333" s="36"/>
      <c r="V333" s="36"/>
      <c r="W333" s="36"/>
      <c r="X333" s="36"/>
      <c r="Y333" s="36"/>
    </row>
    <row r="334" spans="1:25" s="32" customFormat="1" ht="16.5" customHeight="1" x14ac:dyDescent="0.2">
      <c r="A334" s="316" t="s">
        <v>741</v>
      </c>
      <c r="B334" s="317"/>
      <c r="C334" s="317"/>
      <c r="D334" s="148">
        <v>2.62</v>
      </c>
      <c r="E334" s="148">
        <v>0.15</v>
      </c>
      <c r="F334" s="148">
        <v>0.05</v>
      </c>
      <c r="G334" s="148">
        <v>7</v>
      </c>
      <c r="H334" s="148"/>
      <c r="I334" s="148"/>
      <c r="J334" s="170">
        <f t="shared" si="18"/>
        <v>0.13755000000000001</v>
      </c>
      <c r="K334" s="36"/>
      <c r="L334" s="36"/>
      <c r="M334" s="36"/>
      <c r="N334" s="36"/>
      <c r="O334" s="36"/>
      <c r="P334" s="36"/>
      <c r="Q334" s="36"/>
      <c r="R334" s="36"/>
      <c r="S334" s="36"/>
      <c r="T334" s="36"/>
      <c r="U334" s="36"/>
      <c r="V334" s="36"/>
      <c r="W334" s="36"/>
      <c r="X334" s="36"/>
      <c r="Y334" s="36"/>
    </row>
    <row r="335" spans="1:25" s="32" customFormat="1" ht="16.5" customHeight="1" x14ac:dyDescent="0.2">
      <c r="A335" s="316" t="s">
        <v>742</v>
      </c>
      <c r="B335" s="317"/>
      <c r="C335" s="317"/>
      <c r="D335" s="148">
        <v>1.7</v>
      </c>
      <c r="E335" s="148">
        <v>0.15</v>
      </c>
      <c r="F335" s="148">
        <v>0.05</v>
      </c>
      <c r="G335" s="148">
        <v>7</v>
      </c>
      <c r="H335" s="148"/>
      <c r="I335" s="148"/>
      <c r="J335" s="170">
        <f t="shared" si="18"/>
        <v>8.925000000000001E-2</v>
      </c>
      <c r="K335" s="36"/>
      <c r="L335" s="36"/>
      <c r="M335" s="36"/>
      <c r="N335" s="36"/>
      <c r="O335" s="36"/>
      <c r="P335" s="36"/>
      <c r="Q335" s="36"/>
      <c r="R335" s="36"/>
      <c r="S335" s="36"/>
      <c r="T335" s="36"/>
      <c r="U335" s="36"/>
      <c r="V335" s="36"/>
      <c r="W335" s="36"/>
      <c r="X335" s="36"/>
      <c r="Y335" s="36"/>
    </row>
    <row r="336" spans="1:25" s="32" customFormat="1" ht="16.5" customHeight="1" x14ac:dyDescent="0.2">
      <c r="A336" s="316" t="s">
        <v>743</v>
      </c>
      <c r="B336" s="317"/>
      <c r="C336" s="317"/>
      <c r="D336" s="148">
        <v>1.2</v>
      </c>
      <c r="E336" s="148">
        <v>0.15</v>
      </c>
      <c r="F336" s="148">
        <v>0.05</v>
      </c>
      <c r="G336" s="148">
        <v>7</v>
      </c>
      <c r="H336" s="148"/>
      <c r="I336" s="148"/>
      <c r="J336" s="170">
        <f t="shared" si="18"/>
        <v>6.3E-2</v>
      </c>
      <c r="K336" s="36"/>
      <c r="L336" s="36"/>
      <c r="M336" s="36"/>
      <c r="N336" s="36"/>
      <c r="O336" s="36"/>
      <c r="P336" s="36"/>
      <c r="Q336" s="36"/>
      <c r="R336" s="36"/>
      <c r="S336" s="36"/>
      <c r="T336" s="36"/>
      <c r="U336" s="36"/>
      <c r="V336" s="36"/>
      <c r="W336" s="36"/>
      <c r="X336" s="36"/>
      <c r="Y336" s="36"/>
    </row>
    <row r="337" spans="1:25" s="32" customFormat="1" ht="16.5" customHeight="1" x14ac:dyDescent="0.2">
      <c r="A337" s="316" t="s">
        <v>744</v>
      </c>
      <c r="B337" s="317"/>
      <c r="C337" s="317"/>
      <c r="D337" s="148">
        <v>1.2</v>
      </c>
      <c r="E337" s="148">
        <v>0.15</v>
      </c>
      <c r="F337" s="148">
        <v>0.05</v>
      </c>
      <c r="G337" s="148">
        <v>7</v>
      </c>
      <c r="H337" s="148"/>
      <c r="I337" s="148"/>
      <c r="J337" s="170">
        <f t="shared" si="18"/>
        <v>6.3E-2</v>
      </c>
      <c r="K337" s="36"/>
      <c r="L337" s="36"/>
      <c r="M337" s="36"/>
      <c r="N337" s="36"/>
      <c r="O337" s="36"/>
      <c r="P337" s="36"/>
      <c r="Q337" s="36"/>
      <c r="R337" s="36"/>
      <c r="S337" s="36"/>
      <c r="T337" s="36"/>
      <c r="U337" s="36"/>
      <c r="V337" s="36"/>
      <c r="W337" s="36"/>
      <c r="X337" s="36"/>
      <c r="Y337" s="36"/>
    </row>
    <row r="338" spans="1:25" s="32" customFormat="1" ht="16.5" customHeight="1" x14ac:dyDescent="0.2">
      <c r="A338" s="316" t="s">
        <v>745</v>
      </c>
      <c r="B338" s="317"/>
      <c r="C338" s="317"/>
      <c r="D338" s="148">
        <v>4.9400000000000004</v>
      </c>
      <c r="E338" s="148">
        <v>0.15</v>
      </c>
      <c r="F338" s="148">
        <v>0.05</v>
      </c>
      <c r="G338" s="148">
        <v>7</v>
      </c>
      <c r="H338" s="148"/>
      <c r="I338" s="148"/>
      <c r="J338" s="170">
        <f t="shared" si="18"/>
        <v>0.25934999999999997</v>
      </c>
      <c r="K338" s="36"/>
      <c r="L338" s="36"/>
      <c r="M338" s="36"/>
      <c r="N338" s="36"/>
      <c r="O338" s="36"/>
      <c r="P338" s="36"/>
      <c r="Q338" s="36"/>
      <c r="R338" s="36"/>
      <c r="S338" s="36"/>
      <c r="T338" s="36"/>
      <c r="U338" s="36"/>
      <c r="V338" s="36"/>
      <c r="W338" s="36"/>
      <c r="X338" s="36"/>
      <c r="Y338" s="36"/>
    </row>
    <row r="339" spans="1:25" s="32" customFormat="1" ht="16.5" customHeight="1" x14ac:dyDescent="0.2">
      <c r="A339" s="316" t="s">
        <v>746</v>
      </c>
      <c r="B339" s="317"/>
      <c r="C339" s="317"/>
      <c r="D339" s="148">
        <v>4.9400000000000004</v>
      </c>
      <c r="E339" s="148">
        <v>0.15</v>
      </c>
      <c r="F339" s="148">
        <v>0.05</v>
      </c>
      <c r="G339" s="148">
        <v>7</v>
      </c>
      <c r="H339" s="148"/>
      <c r="I339" s="148"/>
      <c r="J339" s="170">
        <f t="shared" si="18"/>
        <v>0.25934999999999997</v>
      </c>
      <c r="K339" s="36"/>
      <c r="L339" s="36"/>
      <c r="M339" s="36"/>
      <c r="N339" s="36"/>
      <c r="O339" s="36"/>
      <c r="P339" s="36"/>
      <c r="Q339" s="36"/>
      <c r="R339" s="36"/>
      <c r="S339" s="36"/>
      <c r="T339" s="36"/>
      <c r="U339" s="36"/>
      <c r="V339" s="36"/>
      <c r="W339" s="36"/>
      <c r="X339" s="36"/>
      <c r="Y339" s="36"/>
    </row>
    <row r="340" spans="1:25" s="32" customFormat="1" ht="16.5" customHeight="1" x14ac:dyDescent="0.2">
      <c r="A340" s="316" t="s">
        <v>747</v>
      </c>
      <c r="B340" s="317"/>
      <c r="C340" s="317"/>
      <c r="D340" s="148">
        <v>4.4000000000000004</v>
      </c>
      <c r="E340" s="148">
        <v>0.15</v>
      </c>
      <c r="F340" s="148">
        <v>0.05</v>
      </c>
      <c r="G340" s="148">
        <v>7</v>
      </c>
      <c r="H340" s="148"/>
      <c r="I340" s="148"/>
      <c r="J340" s="170">
        <f t="shared" si="18"/>
        <v>0.23100000000000001</v>
      </c>
      <c r="K340" s="36"/>
      <c r="L340" s="36"/>
      <c r="M340" s="36"/>
      <c r="N340" s="36"/>
      <c r="O340" s="36"/>
      <c r="P340" s="36"/>
      <c r="Q340" s="36"/>
      <c r="R340" s="36"/>
      <c r="S340" s="36"/>
      <c r="T340" s="36"/>
      <c r="U340" s="36"/>
      <c r="V340" s="36"/>
      <c r="W340" s="36"/>
      <c r="X340" s="36"/>
      <c r="Y340" s="36"/>
    </row>
    <row r="341" spans="1:25" s="32" customFormat="1" ht="16.5" customHeight="1" x14ac:dyDescent="0.2">
      <c r="A341" s="316" t="s">
        <v>748</v>
      </c>
      <c r="B341" s="317"/>
      <c r="C341" s="317"/>
      <c r="D341" s="148">
        <v>2.62</v>
      </c>
      <c r="E341" s="148">
        <v>0.15</v>
      </c>
      <c r="F341" s="148">
        <v>0.05</v>
      </c>
      <c r="G341" s="148">
        <v>7</v>
      </c>
      <c r="H341" s="148"/>
      <c r="I341" s="148"/>
      <c r="J341" s="170">
        <f t="shared" si="18"/>
        <v>0.13755000000000001</v>
      </c>
      <c r="K341" s="36"/>
      <c r="L341" s="36"/>
      <c r="M341" s="36"/>
      <c r="N341" s="36"/>
      <c r="O341" s="36"/>
      <c r="P341" s="36"/>
      <c r="Q341" s="36"/>
      <c r="R341" s="36"/>
      <c r="S341" s="36"/>
      <c r="T341" s="36"/>
      <c r="U341" s="36"/>
      <c r="V341" s="36"/>
      <c r="W341" s="36"/>
      <c r="X341" s="36"/>
      <c r="Y341" s="36"/>
    </row>
    <row r="342" spans="1:25" s="32" customFormat="1" ht="16.5" customHeight="1" x14ac:dyDescent="0.2">
      <c r="A342" s="316" t="s">
        <v>705</v>
      </c>
      <c r="B342" s="317"/>
      <c r="C342" s="317"/>
      <c r="D342" s="148">
        <v>2.62</v>
      </c>
      <c r="E342" s="148">
        <v>0.15</v>
      </c>
      <c r="F342" s="148">
        <v>0.05</v>
      </c>
      <c r="G342" s="148">
        <v>7</v>
      </c>
      <c r="H342" s="148"/>
      <c r="I342" s="148"/>
      <c r="J342" s="170">
        <f t="shared" si="18"/>
        <v>0.13755000000000001</v>
      </c>
      <c r="K342" s="36"/>
      <c r="L342" s="36"/>
      <c r="M342" s="36"/>
      <c r="N342" s="36"/>
      <c r="O342" s="36"/>
      <c r="P342" s="36"/>
      <c r="Q342" s="36"/>
      <c r="R342" s="36"/>
      <c r="S342" s="36"/>
      <c r="T342" s="36"/>
      <c r="U342" s="36"/>
      <c r="V342" s="36"/>
      <c r="W342" s="36"/>
      <c r="X342" s="36"/>
      <c r="Y342" s="36"/>
    </row>
    <row r="343" spans="1:25" s="32" customFormat="1" ht="16.5" customHeight="1" x14ac:dyDescent="0.2">
      <c r="A343" s="316" t="s">
        <v>749</v>
      </c>
      <c r="B343" s="317"/>
      <c r="C343" s="317"/>
      <c r="D343" s="148">
        <v>0.93</v>
      </c>
      <c r="E343" s="148">
        <v>0.15</v>
      </c>
      <c r="F343" s="148">
        <v>0.05</v>
      </c>
      <c r="G343" s="148">
        <v>7</v>
      </c>
      <c r="H343" s="148"/>
      <c r="I343" s="148"/>
      <c r="J343" s="170">
        <f t="shared" si="18"/>
        <v>4.8825000000000007E-2</v>
      </c>
      <c r="K343" s="36"/>
      <c r="L343" s="36"/>
      <c r="M343" s="36"/>
      <c r="N343" s="36"/>
      <c r="O343" s="36"/>
      <c r="P343" s="36"/>
      <c r="Q343" s="36"/>
      <c r="R343" s="36"/>
      <c r="S343" s="36"/>
      <c r="T343" s="36"/>
      <c r="U343" s="36"/>
      <c r="V343" s="36"/>
      <c r="W343" s="36"/>
      <c r="X343" s="36"/>
      <c r="Y343" s="36"/>
    </row>
    <row r="344" spans="1:25" s="32" customFormat="1" ht="16.5" customHeight="1" x14ac:dyDescent="0.2">
      <c r="A344" s="316" t="s">
        <v>750</v>
      </c>
      <c r="B344" s="317"/>
      <c r="C344" s="317"/>
      <c r="D344" s="148">
        <v>0.93</v>
      </c>
      <c r="E344" s="148">
        <v>0.15</v>
      </c>
      <c r="F344" s="148">
        <v>0.05</v>
      </c>
      <c r="G344" s="148">
        <v>7</v>
      </c>
      <c r="H344" s="148"/>
      <c r="I344" s="148"/>
      <c r="J344" s="170">
        <f t="shared" si="18"/>
        <v>4.8825000000000007E-2</v>
      </c>
      <c r="K344" s="36"/>
      <c r="L344" s="36"/>
      <c r="M344" s="36"/>
      <c r="N344" s="36"/>
      <c r="O344" s="36"/>
      <c r="P344" s="36"/>
      <c r="Q344" s="36"/>
      <c r="R344" s="36"/>
      <c r="S344" s="36"/>
      <c r="T344" s="36"/>
      <c r="U344" s="36"/>
      <c r="V344" s="36"/>
      <c r="W344" s="36"/>
      <c r="X344" s="36"/>
      <c r="Y344" s="36"/>
    </row>
    <row r="345" spans="1:25" s="32" customFormat="1" ht="16.5" customHeight="1" x14ac:dyDescent="0.2">
      <c r="A345" s="316" t="s">
        <v>751</v>
      </c>
      <c r="B345" s="317"/>
      <c r="C345" s="317"/>
      <c r="D345" s="148">
        <v>4.6900000000000004</v>
      </c>
      <c r="E345" s="148">
        <v>0.15</v>
      </c>
      <c r="F345" s="148">
        <v>0.05</v>
      </c>
      <c r="G345" s="148">
        <v>7</v>
      </c>
      <c r="H345" s="148"/>
      <c r="I345" s="148"/>
      <c r="J345" s="170">
        <f t="shared" si="18"/>
        <v>0.24622500000000003</v>
      </c>
      <c r="K345" s="36"/>
      <c r="L345" s="36"/>
      <c r="M345" s="36"/>
      <c r="N345" s="36"/>
      <c r="O345" s="36"/>
      <c r="P345" s="36"/>
      <c r="Q345" s="36"/>
      <c r="R345" s="36"/>
      <c r="S345" s="36"/>
      <c r="T345" s="36"/>
      <c r="U345" s="36"/>
      <c r="V345" s="36"/>
      <c r="W345" s="36"/>
      <c r="X345" s="36"/>
      <c r="Y345" s="36"/>
    </row>
    <row r="346" spans="1:25" s="32" customFormat="1" ht="16.5" customHeight="1" x14ac:dyDescent="0.2">
      <c r="A346" s="316" t="s">
        <v>752</v>
      </c>
      <c r="B346" s="317"/>
      <c r="C346" s="317"/>
      <c r="D346" s="148">
        <v>4.6900000000000004</v>
      </c>
      <c r="E346" s="148">
        <v>0.15</v>
      </c>
      <c r="F346" s="148">
        <v>0.05</v>
      </c>
      <c r="G346" s="148">
        <v>7</v>
      </c>
      <c r="H346" s="148"/>
      <c r="I346" s="148"/>
      <c r="J346" s="170">
        <f t="shared" si="18"/>
        <v>0.24622500000000003</v>
      </c>
      <c r="K346" s="36"/>
      <c r="L346" s="36"/>
      <c r="M346" s="36"/>
      <c r="N346" s="36"/>
      <c r="O346" s="36"/>
      <c r="P346" s="36"/>
      <c r="Q346" s="36"/>
      <c r="R346" s="36"/>
      <c r="S346" s="36"/>
      <c r="T346" s="36"/>
      <c r="U346" s="36"/>
      <c r="V346" s="36"/>
      <c r="W346" s="36"/>
      <c r="X346" s="36"/>
      <c r="Y346" s="36"/>
    </row>
    <row r="347" spans="1:25" s="32" customFormat="1" ht="16.5" customHeight="1" x14ac:dyDescent="0.2">
      <c r="A347" s="316" t="s">
        <v>710</v>
      </c>
      <c r="B347" s="317"/>
      <c r="C347" s="317"/>
      <c r="D347" s="148">
        <v>4.6900000000000004</v>
      </c>
      <c r="E347" s="148">
        <v>0.15</v>
      </c>
      <c r="F347" s="148">
        <v>0.05</v>
      </c>
      <c r="G347" s="148">
        <v>7</v>
      </c>
      <c r="H347" s="148"/>
      <c r="I347" s="148"/>
      <c r="J347" s="170">
        <f t="shared" si="18"/>
        <v>0.24622500000000003</v>
      </c>
      <c r="K347" s="36"/>
      <c r="L347" s="36"/>
      <c r="M347" s="36"/>
      <c r="N347" s="36"/>
      <c r="O347" s="36"/>
      <c r="P347" s="36"/>
      <c r="Q347" s="36"/>
      <c r="R347" s="36"/>
      <c r="S347" s="36"/>
      <c r="T347" s="36"/>
      <c r="U347" s="36"/>
      <c r="V347" s="36"/>
      <c r="W347" s="36"/>
      <c r="X347" s="36"/>
      <c r="Y347" s="36"/>
    </row>
    <row r="348" spans="1:25" s="32" customFormat="1" ht="16.5" customHeight="1" x14ac:dyDescent="0.2">
      <c r="A348" s="316" t="s">
        <v>711</v>
      </c>
      <c r="B348" s="317"/>
      <c r="C348" s="317"/>
      <c r="D348" s="148">
        <v>4.6900000000000004</v>
      </c>
      <c r="E348" s="148">
        <v>0.15</v>
      </c>
      <c r="F348" s="148">
        <v>0.05</v>
      </c>
      <c r="G348" s="148">
        <v>7</v>
      </c>
      <c r="H348" s="148"/>
      <c r="I348" s="148"/>
      <c r="J348" s="170">
        <f t="shared" si="18"/>
        <v>0.24622500000000003</v>
      </c>
      <c r="K348" s="36"/>
      <c r="L348" s="36"/>
      <c r="M348" s="36"/>
      <c r="N348" s="36"/>
      <c r="O348" s="36"/>
      <c r="P348" s="36"/>
      <c r="Q348" s="36"/>
      <c r="R348" s="36"/>
      <c r="S348" s="36"/>
      <c r="T348" s="36"/>
      <c r="U348" s="36"/>
      <c r="V348" s="36"/>
      <c r="W348" s="36"/>
      <c r="X348" s="36"/>
      <c r="Y348" s="36"/>
    </row>
    <row r="349" spans="1:25" s="32" customFormat="1" ht="16.5" customHeight="1" x14ac:dyDescent="0.2">
      <c r="A349" s="316" t="s">
        <v>712</v>
      </c>
      <c r="B349" s="317"/>
      <c r="C349" s="317"/>
      <c r="D349" s="148">
        <v>16.34</v>
      </c>
      <c r="E349" s="148">
        <v>0.15</v>
      </c>
      <c r="F349" s="148">
        <v>0.05</v>
      </c>
      <c r="G349" s="148">
        <v>7</v>
      </c>
      <c r="H349" s="148"/>
      <c r="I349" s="148"/>
      <c r="J349" s="170">
        <f t="shared" si="18"/>
        <v>0.85785</v>
      </c>
      <c r="K349" s="36"/>
      <c r="L349" s="36"/>
      <c r="M349" s="36"/>
      <c r="N349" s="36"/>
      <c r="O349" s="36"/>
      <c r="P349" s="36"/>
      <c r="Q349" s="36"/>
      <c r="R349" s="36"/>
      <c r="S349" s="36"/>
      <c r="T349" s="36"/>
      <c r="U349" s="36"/>
      <c r="V349" s="36"/>
      <c r="W349" s="36"/>
      <c r="X349" s="36"/>
      <c r="Y349" s="36"/>
    </row>
    <row r="350" spans="1:25" s="32" customFormat="1" ht="16.5" customHeight="1" x14ac:dyDescent="0.2">
      <c r="A350" s="316" t="s">
        <v>753</v>
      </c>
      <c r="B350" s="317"/>
      <c r="C350" s="317"/>
      <c r="D350" s="148">
        <v>1.35</v>
      </c>
      <c r="E350" s="148">
        <v>0.15</v>
      </c>
      <c r="F350" s="148">
        <v>0.05</v>
      </c>
      <c r="G350" s="148">
        <v>7</v>
      </c>
      <c r="H350" s="148"/>
      <c r="I350" s="148"/>
      <c r="J350" s="170">
        <f t="shared" si="18"/>
        <v>7.0875000000000021E-2</v>
      </c>
      <c r="K350" s="36"/>
      <c r="L350" s="36"/>
      <c r="M350" s="36"/>
      <c r="N350" s="36"/>
      <c r="O350" s="36"/>
      <c r="P350" s="36"/>
      <c r="Q350" s="36"/>
      <c r="R350" s="36"/>
      <c r="S350" s="36"/>
      <c r="T350" s="36"/>
      <c r="U350" s="36"/>
      <c r="V350" s="36"/>
      <c r="W350" s="36"/>
      <c r="X350" s="36"/>
      <c r="Y350" s="36"/>
    </row>
    <row r="351" spans="1:25" s="32" customFormat="1" ht="16.5" customHeight="1" x14ac:dyDescent="0.2">
      <c r="A351" s="316" t="s">
        <v>754</v>
      </c>
      <c r="B351" s="317"/>
      <c r="C351" s="317"/>
      <c r="D351" s="148">
        <v>1.35</v>
      </c>
      <c r="E351" s="148">
        <v>0.15</v>
      </c>
      <c r="F351" s="148">
        <v>0.05</v>
      </c>
      <c r="G351" s="148">
        <v>7</v>
      </c>
      <c r="H351" s="148"/>
      <c r="I351" s="148"/>
      <c r="J351" s="170">
        <f t="shared" si="18"/>
        <v>7.0875000000000021E-2</v>
      </c>
      <c r="K351" s="36"/>
      <c r="L351" s="36"/>
      <c r="M351" s="36"/>
      <c r="N351" s="36"/>
      <c r="O351" s="36"/>
      <c r="P351" s="36"/>
      <c r="Q351" s="36"/>
      <c r="R351" s="36"/>
      <c r="S351" s="36"/>
      <c r="T351" s="36"/>
      <c r="U351" s="36"/>
      <c r="V351" s="36"/>
      <c r="W351" s="36"/>
      <c r="X351" s="36"/>
      <c r="Y351" s="36"/>
    </row>
    <row r="352" spans="1:25" s="32" customFormat="1" ht="16.5" customHeight="1" x14ac:dyDescent="0.2">
      <c r="A352" s="316" t="s">
        <v>755</v>
      </c>
      <c r="B352" s="317"/>
      <c r="C352" s="317"/>
      <c r="D352" s="148">
        <v>15.8</v>
      </c>
      <c r="E352" s="148">
        <v>0.15</v>
      </c>
      <c r="F352" s="148">
        <v>0.05</v>
      </c>
      <c r="G352" s="148">
        <v>7</v>
      </c>
      <c r="H352" s="148"/>
      <c r="I352" s="148"/>
      <c r="J352" s="170">
        <f t="shared" si="18"/>
        <v>0.82950000000000002</v>
      </c>
      <c r="K352" s="36"/>
      <c r="L352" s="36"/>
      <c r="M352" s="36"/>
      <c r="N352" s="36"/>
      <c r="O352" s="36"/>
      <c r="P352" s="36"/>
      <c r="Q352" s="36"/>
      <c r="R352" s="36"/>
      <c r="S352" s="36"/>
      <c r="T352" s="36"/>
      <c r="U352" s="36"/>
      <c r="V352" s="36"/>
      <c r="W352" s="36"/>
      <c r="X352" s="36"/>
      <c r="Y352" s="36"/>
    </row>
    <row r="353" spans="1:25" s="32" customFormat="1" ht="16.5" customHeight="1" x14ac:dyDescent="0.2">
      <c r="A353" s="316" t="s">
        <v>756</v>
      </c>
      <c r="B353" s="317"/>
      <c r="C353" s="317"/>
      <c r="D353" s="148">
        <v>15.84</v>
      </c>
      <c r="E353" s="148">
        <v>0.15</v>
      </c>
      <c r="F353" s="148">
        <v>0.05</v>
      </c>
      <c r="G353" s="148">
        <v>7</v>
      </c>
      <c r="H353" s="148"/>
      <c r="I353" s="148"/>
      <c r="J353" s="170">
        <f t="shared" si="18"/>
        <v>0.83160000000000001</v>
      </c>
      <c r="K353" s="36"/>
      <c r="L353" s="36"/>
      <c r="M353" s="36"/>
      <c r="N353" s="36"/>
      <c r="O353" s="36"/>
      <c r="P353" s="36"/>
      <c r="Q353" s="36"/>
      <c r="R353" s="36"/>
      <c r="S353" s="36"/>
      <c r="T353" s="36"/>
      <c r="U353" s="36"/>
      <c r="V353" s="36"/>
      <c r="W353" s="36"/>
      <c r="X353" s="36"/>
      <c r="Y353" s="36"/>
    </row>
    <row r="354" spans="1:25" s="32" customFormat="1" ht="16.5" customHeight="1" x14ac:dyDescent="0.2">
      <c r="A354" s="316" t="s">
        <v>757</v>
      </c>
      <c r="B354" s="317"/>
      <c r="C354" s="317"/>
      <c r="D354" s="148">
        <v>3.29</v>
      </c>
      <c r="E354" s="148">
        <v>0.15</v>
      </c>
      <c r="F354" s="148">
        <v>0.05</v>
      </c>
      <c r="G354" s="148">
        <v>7</v>
      </c>
      <c r="H354" s="148"/>
      <c r="I354" s="148"/>
      <c r="J354" s="170">
        <f t="shared" si="18"/>
        <v>0.17272500000000002</v>
      </c>
      <c r="K354" s="36"/>
      <c r="L354" s="36"/>
      <c r="M354" s="36"/>
      <c r="N354" s="36"/>
      <c r="O354" s="36"/>
      <c r="P354" s="36"/>
      <c r="Q354" s="36"/>
      <c r="R354" s="36"/>
      <c r="S354" s="36"/>
      <c r="T354" s="36"/>
      <c r="U354" s="36"/>
      <c r="V354" s="36"/>
      <c r="W354" s="36"/>
      <c r="X354" s="36"/>
      <c r="Y354" s="36"/>
    </row>
    <row r="355" spans="1:25" s="32" customFormat="1" ht="16.5" customHeight="1" x14ac:dyDescent="0.2">
      <c r="A355" s="316" t="s">
        <v>758</v>
      </c>
      <c r="B355" s="317"/>
      <c r="C355" s="317"/>
      <c r="D355" s="148">
        <v>3.29</v>
      </c>
      <c r="E355" s="148">
        <v>0.15</v>
      </c>
      <c r="F355" s="148">
        <v>0.05</v>
      </c>
      <c r="G355" s="148">
        <v>7</v>
      </c>
      <c r="H355" s="148"/>
      <c r="I355" s="148"/>
      <c r="J355" s="170">
        <f t="shared" si="18"/>
        <v>0.17272500000000002</v>
      </c>
      <c r="K355" s="36"/>
      <c r="L355" s="36"/>
      <c r="M355" s="36"/>
      <c r="N355" s="36"/>
      <c r="O355" s="36"/>
      <c r="P355" s="36"/>
      <c r="Q355" s="36"/>
      <c r="R355" s="36"/>
      <c r="S355" s="36"/>
      <c r="T355" s="36"/>
      <c r="U355" s="36"/>
      <c r="V355" s="36"/>
      <c r="W355" s="36"/>
      <c r="X355" s="36"/>
      <c r="Y355" s="36"/>
    </row>
    <row r="356" spans="1:25" s="32" customFormat="1" ht="16.5" customHeight="1" x14ac:dyDescent="0.2">
      <c r="A356" s="316" t="s">
        <v>759</v>
      </c>
      <c r="B356" s="317"/>
      <c r="C356" s="317"/>
      <c r="D356" s="148">
        <v>15.84</v>
      </c>
      <c r="E356" s="148">
        <v>0.15</v>
      </c>
      <c r="F356" s="148">
        <v>0.05</v>
      </c>
      <c r="G356" s="148">
        <v>7</v>
      </c>
      <c r="H356" s="148"/>
      <c r="I356" s="148"/>
      <c r="J356" s="170">
        <f t="shared" si="18"/>
        <v>0.83160000000000001</v>
      </c>
      <c r="K356" s="36"/>
      <c r="L356" s="36"/>
      <c r="M356" s="36"/>
      <c r="N356" s="36"/>
      <c r="O356" s="36"/>
      <c r="P356" s="36"/>
      <c r="Q356" s="36"/>
      <c r="R356" s="36"/>
      <c r="S356" s="36"/>
      <c r="T356" s="36"/>
      <c r="U356" s="36"/>
      <c r="V356" s="36"/>
      <c r="W356" s="36"/>
      <c r="X356" s="36"/>
      <c r="Y356" s="36"/>
    </row>
    <row r="357" spans="1:25" s="32" customFormat="1" ht="16.5" customHeight="1" x14ac:dyDescent="0.2">
      <c r="A357" s="316" t="s">
        <v>720</v>
      </c>
      <c r="B357" s="317"/>
      <c r="C357" s="317"/>
      <c r="D357" s="148">
        <v>15.8</v>
      </c>
      <c r="E357" s="148">
        <v>0.15</v>
      </c>
      <c r="F357" s="148">
        <v>0.05</v>
      </c>
      <c r="G357" s="148">
        <v>7</v>
      </c>
      <c r="H357" s="148"/>
      <c r="I357" s="148"/>
      <c r="J357" s="170">
        <f t="shared" si="18"/>
        <v>0.82950000000000002</v>
      </c>
      <c r="K357" s="36"/>
      <c r="L357" s="36"/>
      <c r="M357" s="36"/>
      <c r="N357" s="36"/>
      <c r="O357" s="36"/>
      <c r="P357" s="36"/>
      <c r="Q357" s="36"/>
      <c r="R357" s="36"/>
      <c r="S357" s="36"/>
      <c r="T357" s="36"/>
      <c r="U357" s="36"/>
      <c r="V357" s="36"/>
      <c r="W357" s="36"/>
      <c r="X357" s="36"/>
      <c r="Y357" s="36"/>
    </row>
    <row r="358" spans="1:25" s="32" customFormat="1" ht="16.5" customHeight="1" x14ac:dyDescent="0.2">
      <c r="A358" s="316" t="s">
        <v>721</v>
      </c>
      <c r="B358" s="317"/>
      <c r="C358" s="317"/>
      <c r="D358" s="148">
        <v>1.35</v>
      </c>
      <c r="E358" s="148">
        <v>0.15</v>
      </c>
      <c r="F358" s="148">
        <v>0.05</v>
      </c>
      <c r="G358" s="148">
        <v>7</v>
      </c>
      <c r="H358" s="148"/>
      <c r="I358" s="148"/>
      <c r="J358" s="170">
        <f t="shared" si="18"/>
        <v>7.0875000000000021E-2</v>
      </c>
      <c r="K358" s="36"/>
      <c r="L358" s="36"/>
      <c r="M358" s="36"/>
      <c r="N358" s="36"/>
      <c r="O358" s="36"/>
      <c r="P358" s="36"/>
      <c r="Q358" s="36"/>
      <c r="R358" s="36"/>
      <c r="S358" s="36"/>
      <c r="T358" s="36"/>
      <c r="U358" s="36"/>
      <c r="V358" s="36"/>
      <c r="W358" s="36"/>
      <c r="X358" s="36"/>
      <c r="Y358" s="36"/>
    </row>
    <row r="359" spans="1:25" s="32" customFormat="1" ht="16.5" customHeight="1" x14ac:dyDescent="0.2">
      <c r="A359" s="316" t="s">
        <v>760</v>
      </c>
      <c r="B359" s="317"/>
      <c r="C359" s="317"/>
      <c r="D359" s="148">
        <v>1.35</v>
      </c>
      <c r="E359" s="148">
        <v>0.15</v>
      </c>
      <c r="F359" s="148">
        <v>0.05</v>
      </c>
      <c r="G359" s="148">
        <v>7</v>
      </c>
      <c r="H359" s="148"/>
      <c r="I359" s="148"/>
      <c r="J359" s="170">
        <f t="shared" si="18"/>
        <v>7.0875000000000021E-2</v>
      </c>
      <c r="K359" s="36"/>
      <c r="L359" s="36"/>
      <c r="M359" s="36"/>
      <c r="N359" s="36"/>
      <c r="O359" s="36"/>
      <c r="P359" s="36"/>
      <c r="Q359" s="36"/>
      <c r="R359" s="36"/>
      <c r="S359" s="36"/>
      <c r="T359" s="36"/>
      <c r="U359" s="36"/>
      <c r="V359" s="36"/>
      <c r="W359" s="36"/>
      <c r="X359" s="36"/>
      <c r="Y359" s="36"/>
    </row>
    <row r="360" spans="1:25" s="32" customFormat="1" ht="16.5" customHeight="1" x14ac:dyDescent="0.2">
      <c r="A360" s="316" t="s">
        <v>761</v>
      </c>
      <c r="B360" s="317"/>
      <c r="C360" s="317"/>
      <c r="D360" s="148">
        <v>16.34</v>
      </c>
      <c r="E360" s="148">
        <v>0.15</v>
      </c>
      <c r="F360" s="148">
        <v>0.05</v>
      </c>
      <c r="G360" s="148">
        <v>7</v>
      </c>
      <c r="H360" s="148"/>
      <c r="I360" s="148"/>
      <c r="J360" s="170">
        <f t="shared" si="18"/>
        <v>0.85785</v>
      </c>
      <c r="K360" s="36"/>
      <c r="L360" s="36"/>
      <c r="M360" s="36"/>
      <c r="N360" s="36"/>
      <c r="O360" s="36"/>
      <c r="P360" s="36"/>
      <c r="Q360" s="36"/>
      <c r="R360" s="36"/>
      <c r="S360" s="36"/>
      <c r="T360" s="36"/>
      <c r="U360" s="36"/>
      <c r="V360" s="36"/>
      <c r="W360" s="36"/>
      <c r="X360" s="36"/>
      <c r="Y360" s="36"/>
    </row>
    <row r="361" spans="1:25" s="32" customFormat="1" ht="16.5" customHeight="1" x14ac:dyDescent="0.2">
      <c r="A361" s="316" t="s">
        <v>762</v>
      </c>
      <c r="B361" s="317"/>
      <c r="C361" s="317"/>
      <c r="D361" s="148">
        <v>0.6</v>
      </c>
      <c r="E361" s="148">
        <v>0.6</v>
      </c>
      <c r="F361" s="148">
        <v>0.05</v>
      </c>
      <c r="G361" s="148">
        <v>196</v>
      </c>
      <c r="H361" s="148"/>
      <c r="I361" s="148"/>
      <c r="J361" s="170">
        <f t="shared" si="18"/>
        <v>3.5279999999999996</v>
      </c>
      <c r="K361" s="36"/>
      <c r="L361" s="36"/>
      <c r="M361" s="36"/>
      <c r="N361" s="36"/>
      <c r="O361" s="36"/>
      <c r="P361" s="36"/>
      <c r="Q361" s="36"/>
      <c r="R361" s="36"/>
      <c r="S361" s="36"/>
      <c r="T361" s="36"/>
      <c r="U361" s="36"/>
      <c r="V361" s="36"/>
      <c r="W361" s="36"/>
      <c r="X361" s="36"/>
      <c r="Y361" s="36"/>
    </row>
    <row r="362" spans="1:25" s="32" customFormat="1" ht="16.5" customHeight="1" x14ac:dyDescent="0.2">
      <c r="A362" s="316" t="s">
        <v>671</v>
      </c>
      <c r="B362" s="317"/>
      <c r="C362" s="317"/>
      <c r="D362" s="148"/>
      <c r="E362" s="148"/>
      <c r="F362" s="148">
        <v>0.05</v>
      </c>
      <c r="G362" s="148">
        <v>7</v>
      </c>
      <c r="H362" s="148">
        <v>39.57</v>
      </c>
      <c r="I362" s="148"/>
      <c r="J362" s="170">
        <f t="shared" si="18"/>
        <v>13.849500000000001</v>
      </c>
      <c r="K362" s="36"/>
      <c r="L362" s="36"/>
      <c r="M362" s="36"/>
      <c r="N362" s="36"/>
      <c r="O362" s="36"/>
      <c r="P362" s="36"/>
      <c r="Q362" s="36"/>
      <c r="R362" s="36"/>
      <c r="S362" s="36"/>
      <c r="T362" s="36"/>
      <c r="U362" s="36"/>
      <c r="V362" s="36"/>
      <c r="W362" s="36"/>
      <c r="X362" s="36"/>
      <c r="Y362" s="36"/>
    </row>
    <row r="363" spans="1:25" s="32" customFormat="1" ht="16.5" customHeight="1" x14ac:dyDescent="0.2">
      <c r="A363" s="316" t="s">
        <v>672</v>
      </c>
      <c r="B363" s="317"/>
      <c r="C363" s="317"/>
      <c r="D363" s="148"/>
      <c r="E363" s="148"/>
      <c r="F363" s="148">
        <v>0.05</v>
      </c>
      <c r="G363" s="148">
        <v>7</v>
      </c>
      <c r="H363" s="148">
        <v>39.57</v>
      </c>
      <c r="I363" s="148"/>
      <c r="J363" s="170">
        <f t="shared" si="18"/>
        <v>13.849500000000001</v>
      </c>
      <c r="K363" s="36"/>
      <c r="L363" s="36"/>
      <c r="M363" s="36"/>
      <c r="N363" s="36"/>
      <c r="O363" s="36"/>
      <c r="P363" s="36"/>
      <c r="Q363" s="36"/>
      <c r="R363" s="36"/>
      <c r="S363" s="36"/>
      <c r="T363" s="36"/>
      <c r="U363" s="36"/>
      <c r="V363" s="36"/>
      <c r="W363" s="36"/>
      <c r="X363" s="36"/>
      <c r="Y363" s="36"/>
    </row>
    <row r="364" spans="1:25" s="32" customFormat="1" ht="16.5" customHeight="1" x14ac:dyDescent="0.2">
      <c r="A364" s="316" t="s">
        <v>673</v>
      </c>
      <c r="B364" s="317"/>
      <c r="C364" s="317"/>
      <c r="D364" s="148"/>
      <c r="E364" s="148"/>
      <c r="F364" s="148">
        <v>0.05</v>
      </c>
      <c r="G364" s="148">
        <v>7</v>
      </c>
      <c r="H364" s="148">
        <v>39.57</v>
      </c>
      <c r="I364" s="148"/>
      <c r="J364" s="170">
        <f t="shared" si="18"/>
        <v>13.849500000000001</v>
      </c>
      <c r="K364" s="36"/>
      <c r="L364" s="36"/>
      <c r="M364" s="36"/>
      <c r="N364" s="36"/>
      <c r="O364" s="36"/>
      <c r="P364" s="36"/>
      <c r="Q364" s="36"/>
      <c r="R364" s="36"/>
      <c r="S364" s="36"/>
      <c r="T364" s="36"/>
      <c r="U364" s="36"/>
      <c r="V364" s="36"/>
      <c r="W364" s="36"/>
      <c r="X364" s="36"/>
      <c r="Y364" s="36"/>
    </row>
    <row r="365" spans="1:25" s="32" customFormat="1" ht="16.5" customHeight="1" x14ac:dyDescent="0.2">
      <c r="A365" s="316" t="s">
        <v>674</v>
      </c>
      <c r="B365" s="317"/>
      <c r="C365" s="317"/>
      <c r="D365" s="148"/>
      <c r="E365" s="148"/>
      <c r="F365" s="148">
        <v>0.05</v>
      </c>
      <c r="G365" s="148">
        <v>7</v>
      </c>
      <c r="H365" s="148">
        <v>39.57</v>
      </c>
      <c r="I365" s="148"/>
      <c r="J365" s="170">
        <f t="shared" si="18"/>
        <v>13.849500000000001</v>
      </c>
      <c r="K365" s="36"/>
      <c r="L365" s="36"/>
      <c r="M365" s="36"/>
      <c r="N365" s="36"/>
      <c r="O365" s="36"/>
      <c r="P365" s="36"/>
      <c r="Q365" s="36"/>
      <c r="R365" s="36"/>
      <c r="S365" s="36"/>
      <c r="T365" s="36"/>
      <c r="U365" s="36"/>
      <c r="V365" s="36"/>
      <c r="W365" s="36"/>
      <c r="X365" s="36"/>
      <c r="Y365" s="36"/>
    </row>
    <row r="366" spans="1:25" ht="16.5" customHeight="1" x14ac:dyDescent="0.2">
      <c r="A366" s="342" t="str">
        <f>"TOTAL - "&amp;'Planilha orçamentária'!F48</f>
        <v>TOTAL - M3</v>
      </c>
      <c r="B366" s="342"/>
      <c r="C366" s="342"/>
      <c r="D366" s="342"/>
      <c r="E366" s="342"/>
      <c r="F366" s="342"/>
      <c r="G366" s="342"/>
      <c r="H366" s="342"/>
      <c r="I366" s="342"/>
      <c r="J366" s="149">
        <f>SUM(J326:J365)</f>
        <v>68.477850000000004</v>
      </c>
      <c r="K366" s="10"/>
      <c r="L366" s="10"/>
      <c r="M366" s="10"/>
      <c r="N366" s="10"/>
      <c r="O366" s="10"/>
      <c r="P366" s="10"/>
      <c r="Q366" s="10"/>
      <c r="R366" s="10"/>
      <c r="S366" s="10"/>
      <c r="T366" s="10"/>
      <c r="U366" s="10"/>
      <c r="V366" s="10"/>
      <c r="W366" s="10"/>
      <c r="X366" s="10"/>
      <c r="Y366" s="10"/>
    </row>
    <row r="367" spans="1:25" ht="16.5" customHeight="1" x14ac:dyDescent="0.2">
      <c r="A367" s="184" t="str">
        <f>'Planilha orçamentária'!A49</f>
        <v>8.2</v>
      </c>
      <c r="B367" s="343" t="str">
        <f>'Planilha orçamentária'!D49</f>
        <v>Contrapiso desempenado com argamassa, traço 1:3 (cimento e areia), esp. 30mm</v>
      </c>
      <c r="C367" s="344"/>
      <c r="D367" s="344"/>
      <c r="E367" s="344"/>
      <c r="F367" s="344"/>
      <c r="G367" s="344"/>
      <c r="H367" s="344"/>
      <c r="I367" s="344"/>
      <c r="J367" s="344"/>
      <c r="K367" s="10"/>
      <c r="L367" s="10"/>
      <c r="M367" s="10"/>
      <c r="N367" s="10"/>
      <c r="O367" s="10"/>
      <c r="P367" s="10"/>
      <c r="Q367" s="10"/>
      <c r="R367" s="10"/>
      <c r="S367" s="10"/>
      <c r="T367" s="10"/>
      <c r="U367" s="10"/>
      <c r="V367" s="10"/>
      <c r="W367" s="10"/>
      <c r="X367" s="10"/>
      <c r="Y367" s="10"/>
    </row>
    <row r="368" spans="1:25" ht="16.5" customHeight="1" x14ac:dyDescent="0.2">
      <c r="A368" s="327" t="s">
        <v>120</v>
      </c>
      <c r="B368" s="328"/>
      <c r="C368" s="328"/>
      <c r="D368" s="182" t="s">
        <v>121</v>
      </c>
      <c r="E368" s="182" t="s">
        <v>122</v>
      </c>
      <c r="F368" s="182" t="s">
        <v>123</v>
      </c>
      <c r="G368" s="181" t="s">
        <v>124</v>
      </c>
      <c r="H368" s="181" t="s">
        <v>125</v>
      </c>
      <c r="I368" s="182" t="s">
        <v>126</v>
      </c>
      <c r="J368" s="182" t="s">
        <v>113</v>
      </c>
      <c r="K368" s="10"/>
      <c r="L368" s="10"/>
      <c r="M368" s="10"/>
      <c r="N368" s="10"/>
      <c r="O368" s="10"/>
      <c r="P368" s="10"/>
      <c r="Q368" s="10"/>
      <c r="R368" s="10"/>
      <c r="S368" s="10"/>
      <c r="T368" s="10"/>
      <c r="U368" s="10"/>
      <c r="V368" s="10"/>
      <c r="W368" s="10"/>
      <c r="X368" s="10"/>
      <c r="Y368" s="10"/>
    </row>
    <row r="369" spans="1:25" s="32" customFormat="1" ht="16.5" customHeight="1" x14ac:dyDescent="0.2">
      <c r="A369" s="316" t="s">
        <v>671</v>
      </c>
      <c r="B369" s="317"/>
      <c r="C369" s="317"/>
      <c r="D369" s="148"/>
      <c r="E369" s="148"/>
      <c r="F369" s="148"/>
      <c r="G369" s="148">
        <v>7</v>
      </c>
      <c r="H369" s="148">
        <v>39.57</v>
      </c>
      <c r="I369" s="148"/>
      <c r="J369" s="170">
        <f t="shared" ref="J369:J388" si="19">PRODUCT(D369:H369)-I369</f>
        <v>276.99</v>
      </c>
      <c r="K369" s="36"/>
      <c r="L369" s="36"/>
      <c r="M369" s="36"/>
      <c r="N369" s="36"/>
      <c r="O369" s="36"/>
      <c r="P369" s="36"/>
      <c r="Q369" s="36"/>
      <c r="R369" s="36"/>
      <c r="S369" s="36"/>
      <c r="T369" s="36"/>
      <c r="U369" s="36"/>
      <c r="V369" s="36"/>
      <c r="W369" s="36"/>
      <c r="X369" s="36"/>
      <c r="Y369" s="36"/>
    </row>
    <row r="370" spans="1:25" s="32" customFormat="1" ht="16.5" customHeight="1" x14ac:dyDescent="0.2">
      <c r="A370" s="316" t="s">
        <v>672</v>
      </c>
      <c r="B370" s="317"/>
      <c r="C370" s="317"/>
      <c r="D370" s="148"/>
      <c r="E370" s="148"/>
      <c r="F370" s="148"/>
      <c r="G370" s="148">
        <v>7</v>
      </c>
      <c r="H370" s="148">
        <v>39.57</v>
      </c>
      <c r="I370" s="148"/>
      <c r="J370" s="170">
        <f t="shared" si="19"/>
        <v>276.99</v>
      </c>
      <c r="K370" s="36"/>
      <c r="L370" s="36"/>
      <c r="M370" s="36"/>
      <c r="N370" s="36"/>
      <c r="O370" s="36"/>
      <c r="P370" s="36"/>
      <c r="Q370" s="36"/>
      <c r="R370" s="36"/>
      <c r="S370" s="36"/>
      <c r="T370" s="36"/>
      <c r="U370" s="36"/>
      <c r="V370" s="36"/>
      <c r="W370" s="36"/>
      <c r="X370" s="36"/>
      <c r="Y370" s="36"/>
    </row>
    <row r="371" spans="1:25" s="32" customFormat="1" ht="16.5" customHeight="1" x14ac:dyDescent="0.2">
      <c r="A371" s="316" t="s">
        <v>471</v>
      </c>
      <c r="B371" s="317"/>
      <c r="C371" s="317"/>
      <c r="D371" s="148"/>
      <c r="E371" s="148"/>
      <c r="F371" s="148"/>
      <c r="G371" s="148">
        <v>7</v>
      </c>
      <c r="H371" s="148">
        <v>39.57</v>
      </c>
      <c r="I371" s="148"/>
      <c r="J371" s="170">
        <f t="shared" si="19"/>
        <v>276.99</v>
      </c>
      <c r="K371" s="36"/>
      <c r="L371" s="36"/>
      <c r="M371" s="36"/>
      <c r="N371" s="36"/>
      <c r="O371" s="36"/>
      <c r="P371" s="36"/>
      <c r="Q371" s="36"/>
      <c r="R371" s="36"/>
      <c r="S371" s="36"/>
      <c r="T371" s="36"/>
      <c r="U371" s="36"/>
      <c r="V371" s="36"/>
      <c r="W371" s="36"/>
      <c r="X371" s="36"/>
      <c r="Y371" s="36"/>
    </row>
    <row r="372" spans="1:25" s="32" customFormat="1" ht="16.5" customHeight="1" x14ac:dyDescent="0.2">
      <c r="A372" s="316" t="s">
        <v>472</v>
      </c>
      <c r="B372" s="317"/>
      <c r="C372" s="317"/>
      <c r="D372" s="148"/>
      <c r="E372" s="148"/>
      <c r="F372" s="148"/>
      <c r="G372" s="148">
        <v>7</v>
      </c>
      <c r="H372" s="148">
        <v>39.57</v>
      </c>
      <c r="I372" s="148"/>
      <c r="J372" s="170">
        <f t="shared" si="19"/>
        <v>276.99</v>
      </c>
      <c r="K372" s="36"/>
      <c r="L372" s="36"/>
      <c r="M372" s="36"/>
      <c r="N372" s="36"/>
      <c r="O372" s="36"/>
      <c r="P372" s="36"/>
      <c r="Q372" s="36"/>
      <c r="R372" s="36"/>
      <c r="S372" s="36"/>
      <c r="T372" s="36"/>
      <c r="U372" s="36"/>
      <c r="V372" s="36"/>
      <c r="W372" s="36"/>
      <c r="X372" s="36"/>
      <c r="Y372" s="36"/>
    </row>
    <row r="373" spans="1:25" s="32" customFormat="1" ht="16.5" customHeight="1" x14ac:dyDescent="0.2">
      <c r="A373" s="316" t="s">
        <v>473</v>
      </c>
      <c r="B373" s="317"/>
      <c r="C373" s="317"/>
      <c r="D373" s="148"/>
      <c r="E373" s="148"/>
      <c r="F373" s="148"/>
      <c r="G373" s="148">
        <v>7</v>
      </c>
      <c r="H373" s="148">
        <f>20.55+1.2*16*0.17</f>
        <v>23.814</v>
      </c>
      <c r="I373" s="148"/>
      <c r="J373" s="170">
        <f t="shared" si="19"/>
        <v>166.69800000000001</v>
      </c>
      <c r="K373" s="36"/>
      <c r="L373" s="36"/>
      <c r="M373" s="36"/>
      <c r="N373" s="36"/>
      <c r="O373" s="36"/>
      <c r="P373" s="36"/>
      <c r="Q373" s="36"/>
      <c r="R373" s="36"/>
      <c r="S373" s="36"/>
      <c r="T373" s="36"/>
      <c r="U373" s="36"/>
      <c r="V373" s="36"/>
      <c r="W373" s="36"/>
      <c r="X373" s="36"/>
      <c r="Y373" s="36"/>
    </row>
    <row r="374" spans="1:25" s="32" customFormat="1" ht="16.5" customHeight="1" x14ac:dyDescent="0.2">
      <c r="A374" s="316" t="s">
        <v>466</v>
      </c>
      <c r="B374" s="317"/>
      <c r="C374" s="317"/>
      <c r="D374" s="148"/>
      <c r="E374" s="148"/>
      <c r="F374" s="148"/>
      <c r="G374" s="148">
        <v>7</v>
      </c>
      <c r="H374" s="148">
        <v>39.57</v>
      </c>
      <c r="I374" s="148"/>
      <c r="J374" s="170">
        <f t="shared" si="19"/>
        <v>276.99</v>
      </c>
      <c r="K374" s="36"/>
      <c r="L374" s="36"/>
      <c r="M374" s="36"/>
      <c r="N374" s="36"/>
      <c r="O374" s="36"/>
      <c r="P374" s="36"/>
      <c r="Q374" s="36"/>
      <c r="R374" s="36"/>
      <c r="S374" s="36"/>
      <c r="T374" s="36"/>
      <c r="U374" s="36"/>
      <c r="V374" s="36"/>
      <c r="W374" s="36"/>
      <c r="X374" s="36"/>
      <c r="Y374" s="36"/>
    </row>
    <row r="375" spans="1:25" s="32" customFormat="1" ht="16.5" customHeight="1" x14ac:dyDescent="0.2">
      <c r="A375" s="316" t="s">
        <v>474</v>
      </c>
      <c r="B375" s="317"/>
      <c r="C375" s="317"/>
      <c r="D375" s="148"/>
      <c r="E375" s="148"/>
      <c r="F375" s="148"/>
      <c r="G375" s="148">
        <v>7</v>
      </c>
      <c r="H375" s="148">
        <v>39.57</v>
      </c>
      <c r="I375" s="148"/>
      <c r="J375" s="170">
        <f t="shared" si="19"/>
        <v>276.99</v>
      </c>
      <c r="K375" s="36"/>
      <c r="L375" s="36"/>
      <c r="M375" s="36"/>
      <c r="N375" s="36"/>
      <c r="O375" s="36"/>
      <c r="P375" s="36"/>
      <c r="Q375" s="36"/>
      <c r="R375" s="36"/>
      <c r="S375" s="36"/>
      <c r="T375" s="36"/>
      <c r="U375" s="36"/>
      <c r="V375" s="36"/>
      <c r="W375" s="36"/>
      <c r="X375" s="36"/>
      <c r="Y375" s="36"/>
    </row>
    <row r="376" spans="1:25" s="32" customFormat="1" ht="16.5" customHeight="1" x14ac:dyDescent="0.2">
      <c r="A376" s="316" t="s">
        <v>475</v>
      </c>
      <c r="B376" s="317"/>
      <c r="C376" s="317"/>
      <c r="D376" s="148"/>
      <c r="E376" s="148"/>
      <c r="F376" s="148"/>
      <c r="G376" s="148">
        <v>7</v>
      </c>
      <c r="H376" s="148">
        <v>39.57</v>
      </c>
      <c r="I376" s="148"/>
      <c r="J376" s="170">
        <f t="shared" si="19"/>
        <v>276.99</v>
      </c>
      <c r="K376" s="36"/>
      <c r="L376" s="36"/>
      <c r="M376" s="36"/>
      <c r="N376" s="36"/>
      <c r="O376" s="36"/>
      <c r="P376" s="36"/>
      <c r="Q376" s="36"/>
      <c r="R376" s="36"/>
      <c r="S376" s="36"/>
      <c r="T376" s="36"/>
      <c r="U376" s="36"/>
      <c r="V376" s="36"/>
      <c r="W376" s="36"/>
      <c r="X376" s="36"/>
      <c r="Y376" s="36"/>
    </row>
    <row r="377" spans="1:25" s="32" customFormat="1" ht="16.5" customHeight="1" x14ac:dyDescent="0.2">
      <c r="A377" s="316" t="s">
        <v>476</v>
      </c>
      <c r="B377" s="317"/>
      <c r="C377" s="317"/>
      <c r="D377" s="148"/>
      <c r="E377" s="148"/>
      <c r="F377" s="148"/>
      <c r="G377" s="148">
        <v>7</v>
      </c>
      <c r="H377" s="148">
        <v>39.57</v>
      </c>
      <c r="I377" s="148"/>
      <c r="J377" s="170">
        <f t="shared" si="19"/>
        <v>276.99</v>
      </c>
      <c r="K377" s="36"/>
      <c r="L377" s="36"/>
      <c r="M377" s="36"/>
      <c r="N377" s="36"/>
      <c r="O377" s="36"/>
      <c r="P377" s="36"/>
      <c r="Q377" s="36"/>
      <c r="R377" s="36"/>
      <c r="S377" s="36"/>
      <c r="T377" s="36"/>
      <c r="U377" s="36"/>
      <c r="V377" s="36"/>
      <c r="W377" s="36"/>
      <c r="X377" s="36"/>
      <c r="Y377" s="36"/>
    </row>
    <row r="378" spans="1:25" s="32" customFormat="1" ht="16.5" customHeight="1" x14ac:dyDescent="0.2">
      <c r="A378" s="316" t="s">
        <v>477</v>
      </c>
      <c r="B378" s="317"/>
      <c r="C378" s="317"/>
      <c r="D378" s="148"/>
      <c r="E378" s="148"/>
      <c r="F378" s="148"/>
      <c r="G378" s="148">
        <v>7</v>
      </c>
      <c r="H378" s="148">
        <f>20.55+1.2*16*0.17</f>
        <v>23.814</v>
      </c>
      <c r="I378" s="148"/>
      <c r="J378" s="170">
        <f t="shared" si="19"/>
        <v>166.69800000000001</v>
      </c>
      <c r="K378" s="36"/>
      <c r="L378" s="36"/>
      <c r="M378" s="36"/>
      <c r="N378" s="36"/>
      <c r="O378" s="36"/>
      <c r="P378" s="36"/>
      <c r="Q378" s="36"/>
      <c r="R378" s="36"/>
      <c r="S378" s="36"/>
      <c r="T378" s="36"/>
      <c r="U378" s="36"/>
      <c r="V378" s="36"/>
      <c r="W378" s="36"/>
      <c r="X378" s="36"/>
      <c r="Y378" s="36"/>
    </row>
    <row r="379" spans="1:25" s="32" customFormat="1" ht="16.5" customHeight="1" x14ac:dyDescent="0.2">
      <c r="A379" s="316" t="s">
        <v>478</v>
      </c>
      <c r="B379" s="317"/>
      <c r="C379" s="317"/>
      <c r="D379" s="148"/>
      <c r="E379" s="148"/>
      <c r="F379" s="148"/>
      <c r="G379" s="148">
        <v>7</v>
      </c>
      <c r="H379" s="148">
        <v>39.57</v>
      </c>
      <c r="I379" s="148"/>
      <c r="J379" s="170">
        <f t="shared" si="19"/>
        <v>276.99</v>
      </c>
      <c r="K379" s="36"/>
      <c r="L379" s="36"/>
      <c r="M379" s="36"/>
      <c r="N379" s="36"/>
      <c r="O379" s="36"/>
      <c r="P379" s="36"/>
      <c r="Q379" s="36"/>
      <c r="R379" s="36"/>
      <c r="S379" s="36"/>
      <c r="T379" s="36"/>
      <c r="U379" s="36"/>
      <c r="V379" s="36"/>
      <c r="W379" s="36"/>
      <c r="X379" s="36"/>
      <c r="Y379" s="36"/>
    </row>
    <row r="380" spans="1:25" s="32" customFormat="1" ht="16.5" customHeight="1" x14ac:dyDescent="0.2">
      <c r="A380" s="316" t="s">
        <v>479</v>
      </c>
      <c r="B380" s="317"/>
      <c r="C380" s="317"/>
      <c r="D380" s="148"/>
      <c r="E380" s="148"/>
      <c r="F380" s="148"/>
      <c r="G380" s="148">
        <v>7</v>
      </c>
      <c r="H380" s="148">
        <v>39.57</v>
      </c>
      <c r="I380" s="148"/>
      <c r="J380" s="170">
        <f t="shared" si="19"/>
        <v>276.99</v>
      </c>
      <c r="K380" s="36"/>
      <c r="L380" s="36"/>
      <c r="M380" s="36"/>
      <c r="N380" s="36"/>
      <c r="O380" s="36"/>
      <c r="P380" s="36"/>
      <c r="Q380" s="36"/>
      <c r="R380" s="36"/>
      <c r="S380" s="36"/>
      <c r="T380" s="36"/>
      <c r="U380" s="36"/>
      <c r="V380" s="36"/>
      <c r="W380" s="36"/>
      <c r="X380" s="36"/>
      <c r="Y380" s="36"/>
    </row>
    <row r="381" spans="1:25" s="32" customFormat="1" ht="16.5" customHeight="1" x14ac:dyDescent="0.2">
      <c r="A381" s="316" t="s">
        <v>480</v>
      </c>
      <c r="B381" s="317"/>
      <c r="C381" s="317"/>
      <c r="D381" s="148"/>
      <c r="E381" s="148"/>
      <c r="F381" s="148"/>
      <c r="G381" s="148">
        <v>7</v>
      </c>
      <c r="H381" s="148">
        <v>39.57</v>
      </c>
      <c r="I381" s="148"/>
      <c r="J381" s="170">
        <f t="shared" si="19"/>
        <v>276.99</v>
      </c>
      <c r="K381" s="36"/>
      <c r="L381" s="36"/>
      <c r="M381" s="36"/>
      <c r="N381" s="36"/>
      <c r="O381" s="36"/>
      <c r="P381" s="36"/>
      <c r="Q381" s="36"/>
      <c r="R381" s="36"/>
      <c r="S381" s="36"/>
      <c r="T381" s="36"/>
      <c r="U381" s="36"/>
      <c r="V381" s="36"/>
      <c r="W381" s="36"/>
      <c r="X381" s="36"/>
      <c r="Y381" s="36"/>
    </row>
    <row r="382" spans="1:25" s="32" customFormat="1" ht="16.5" customHeight="1" x14ac:dyDescent="0.2">
      <c r="A382" s="316" t="s">
        <v>481</v>
      </c>
      <c r="B382" s="317"/>
      <c r="C382" s="317"/>
      <c r="D382" s="148"/>
      <c r="E382" s="148"/>
      <c r="F382" s="148"/>
      <c r="G382" s="148">
        <v>7</v>
      </c>
      <c r="H382" s="148">
        <v>39.57</v>
      </c>
      <c r="I382" s="148"/>
      <c r="J382" s="170">
        <f t="shared" si="19"/>
        <v>276.99</v>
      </c>
      <c r="K382" s="36"/>
      <c r="L382" s="36"/>
      <c r="M382" s="36"/>
      <c r="N382" s="36"/>
      <c r="O382" s="36"/>
      <c r="P382" s="36"/>
      <c r="Q382" s="36"/>
      <c r="R382" s="36"/>
      <c r="S382" s="36"/>
      <c r="T382" s="36"/>
      <c r="U382" s="36"/>
      <c r="V382" s="36"/>
      <c r="W382" s="36"/>
      <c r="X382" s="36"/>
      <c r="Y382" s="36"/>
    </row>
    <row r="383" spans="1:25" s="32" customFormat="1" ht="16.5" customHeight="1" x14ac:dyDescent="0.2">
      <c r="A383" s="316" t="s">
        <v>482</v>
      </c>
      <c r="B383" s="317"/>
      <c r="C383" s="317"/>
      <c r="D383" s="148"/>
      <c r="E383" s="148"/>
      <c r="F383" s="148"/>
      <c r="G383" s="148">
        <v>7</v>
      </c>
      <c r="H383" s="148">
        <f>20.55+1.2*16*0.17</f>
        <v>23.814</v>
      </c>
      <c r="I383" s="148"/>
      <c r="J383" s="170">
        <f t="shared" si="19"/>
        <v>166.69800000000001</v>
      </c>
      <c r="K383" s="36"/>
      <c r="L383" s="36"/>
      <c r="M383" s="36"/>
      <c r="N383" s="36"/>
      <c r="O383" s="36"/>
      <c r="P383" s="36"/>
      <c r="Q383" s="36"/>
      <c r="R383" s="36"/>
      <c r="S383" s="36"/>
      <c r="T383" s="36"/>
      <c r="U383" s="36"/>
      <c r="V383" s="36"/>
      <c r="W383" s="36"/>
      <c r="X383" s="36"/>
      <c r="Y383" s="36"/>
    </row>
    <row r="384" spans="1:25" s="32" customFormat="1" ht="16.5" customHeight="1" x14ac:dyDescent="0.2">
      <c r="A384" s="316" t="s">
        <v>483</v>
      </c>
      <c r="B384" s="317"/>
      <c r="C384" s="317"/>
      <c r="D384" s="148"/>
      <c r="E384" s="148"/>
      <c r="F384" s="148"/>
      <c r="G384" s="148">
        <v>7</v>
      </c>
      <c r="H384" s="148">
        <v>39.57</v>
      </c>
      <c r="I384" s="148"/>
      <c r="J384" s="170">
        <f t="shared" si="19"/>
        <v>276.99</v>
      </c>
      <c r="K384" s="36"/>
      <c r="L384" s="36"/>
      <c r="M384" s="36"/>
      <c r="N384" s="36"/>
      <c r="O384" s="36"/>
      <c r="P384" s="36"/>
      <c r="Q384" s="36"/>
      <c r="R384" s="36"/>
      <c r="S384" s="36"/>
      <c r="T384" s="36"/>
      <c r="U384" s="36"/>
      <c r="V384" s="36"/>
      <c r="W384" s="36"/>
      <c r="X384" s="36"/>
      <c r="Y384" s="36"/>
    </row>
    <row r="385" spans="1:25" s="32" customFormat="1" ht="16.5" customHeight="1" x14ac:dyDescent="0.2">
      <c r="A385" s="316" t="s">
        <v>484</v>
      </c>
      <c r="B385" s="317"/>
      <c r="C385" s="317"/>
      <c r="D385" s="148"/>
      <c r="E385" s="148"/>
      <c r="F385" s="148"/>
      <c r="G385" s="148">
        <v>7</v>
      </c>
      <c r="H385" s="148">
        <v>39.57</v>
      </c>
      <c r="I385" s="148"/>
      <c r="J385" s="170">
        <f t="shared" si="19"/>
        <v>276.99</v>
      </c>
      <c r="K385" s="36"/>
      <c r="L385" s="36"/>
      <c r="M385" s="36"/>
      <c r="N385" s="36"/>
      <c r="O385" s="36"/>
      <c r="P385" s="36"/>
      <c r="Q385" s="36"/>
      <c r="R385" s="36"/>
      <c r="S385" s="36"/>
      <c r="T385" s="36"/>
      <c r="U385" s="36"/>
      <c r="V385" s="36"/>
      <c r="W385" s="36"/>
      <c r="X385" s="36"/>
      <c r="Y385" s="36"/>
    </row>
    <row r="386" spans="1:25" s="32" customFormat="1" ht="16.5" customHeight="1" x14ac:dyDescent="0.2">
      <c r="A386" s="316" t="s">
        <v>485</v>
      </c>
      <c r="B386" s="317"/>
      <c r="C386" s="317"/>
      <c r="D386" s="148"/>
      <c r="E386" s="148"/>
      <c r="F386" s="148"/>
      <c r="G386" s="148">
        <v>7</v>
      </c>
      <c r="H386" s="148">
        <v>39.57</v>
      </c>
      <c r="I386" s="148"/>
      <c r="J386" s="170">
        <f t="shared" si="19"/>
        <v>276.99</v>
      </c>
      <c r="K386" s="36"/>
      <c r="L386" s="36"/>
      <c r="M386" s="36"/>
      <c r="N386" s="36"/>
      <c r="O386" s="36"/>
      <c r="P386" s="36"/>
      <c r="Q386" s="36"/>
      <c r="R386" s="36"/>
      <c r="S386" s="36"/>
      <c r="T386" s="36"/>
      <c r="U386" s="36"/>
      <c r="V386" s="36"/>
      <c r="W386" s="36"/>
      <c r="X386" s="36"/>
      <c r="Y386" s="36"/>
    </row>
    <row r="387" spans="1:25" s="32" customFormat="1" ht="16.5" customHeight="1" x14ac:dyDescent="0.2">
      <c r="A387" s="316" t="s">
        <v>486</v>
      </c>
      <c r="B387" s="317"/>
      <c r="C387" s="317"/>
      <c r="D387" s="148"/>
      <c r="E387" s="148"/>
      <c r="F387" s="148"/>
      <c r="G387" s="148">
        <v>7</v>
      </c>
      <c r="H387" s="148">
        <v>39.57</v>
      </c>
      <c r="I387" s="148"/>
      <c r="J387" s="170">
        <f t="shared" si="19"/>
        <v>276.99</v>
      </c>
      <c r="K387" s="36"/>
      <c r="L387" s="36"/>
      <c r="M387" s="36"/>
      <c r="N387" s="36"/>
      <c r="O387" s="36"/>
      <c r="P387" s="36"/>
      <c r="Q387" s="36"/>
      <c r="R387" s="36"/>
      <c r="S387" s="36"/>
      <c r="T387" s="36"/>
      <c r="U387" s="36"/>
      <c r="V387" s="36"/>
      <c r="W387" s="36"/>
      <c r="X387" s="36"/>
      <c r="Y387" s="36"/>
    </row>
    <row r="388" spans="1:25" s="32" customFormat="1" ht="16.5" customHeight="1" x14ac:dyDescent="0.2">
      <c r="A388" s="316" t="s">
        <v>487</v>
      </c>
      <c r="B388" s="317"/>
      <c r="C388" s="317"/>
      <c r="D388" s="148"/>
      <c r="E388" s="148"/>
      <c r="F388" s="148"/>
      <c r="G388" s="148">
        <v>7</v>
      </c>
      <c r="H388" s="148">
        <f>ROUND(1.2*2.56*2+2.04*1.55,2)</f>
        <v>9.31</v>
      </c>
      <c r="I388" s="148"/>
      <c r="J388" s="170">
        <f t="shared" si="19"/>
        <v>65.17</v>
      </c>
      <c r="K388" s="36"/>
      <c r="L388" s="36"/>
      <c r="M388" s="36"/>
      <c r="N388" s="36"/>
      <c r="O388" s="36"/>
      <c r="P388" s="36"/>
      <c r="Q388" s="36"/>
      <c r="R388" s="36"/>
      <c r="S388" s="36"/>
      <c r="T388" s="36"/>
      <c r="U388" s="36"/>
      <c r="V388" s="36"/>
      <c r="W388" s="36"/>
      <c r="X388" s="36"/>
      <c r="Y388" s="36"/>
    </row>
    <row r="389" spans="1:25" ht="16.5" customHeight="1" x14ac:dyDescent="0.2">
      <c r="A389" s="342" t="str">
        <f>"TOTAL - "&amp;'Planilha orçamentária'!F48</f>
        <v>TOTAL - M3</v>
      </c>
      <c r="B389" s="342"/>
      <c r="C389" s="342"/>
      <c r="D389" s="342"/>
      <c r="E389" s="342"/>
      <c r="F389" s="342"/>
      <c r="G389" s="342"/>
      <c r="H389" s="342"/>
      <c r="I389" s="342"/>
      <c r="J389" s="149">
        <f>SUM(J369:J388)</f>
        <v>4997.1039999999994</v>
      </c>
      <c r="K389" s="10"/>
      <c r="L389" s="10"/>
      <c r="M389" s="10"/>
      <c r="N389" s="10"/>
      <c r="O389" s="10"/>
      <c r="P389" s="10"/>
      <c r="Q389" s="10"/>
      <c r="R389" s="10"/>
      <c r="S389" s="10"/>
      <c r="T389" s="10"/>
      <c r="U389" s="10"/>
      <c r="V389" s="10"/>
      <c r="W389" s="10"/>
      <c r="X389" s="10"/>
      <c r="Y389" s="10"/>
    </row>
    <row r="390" spans="1:25" ht="25.5" customHeight="1" x14ac:dyDescent="0.2">
      <c r="A390" s="184" t="str">
        <f>'Planilha orçamentária'!A50</f>
        <v>8.3</v>
      </c>
      <c r="B390" s="343" t="str">
        <f>'Planilha orçamentária'!D50</f>
        <v>Revestimento com cerâmica aplicado em piso, acabamento esmaltado, ambiente externo (antiderrapante), padrão extra, dimensão da peça até 2025 cm2, PEI V, assentamento com argamassa industrializada, inclusive rejuntamento</v>
      </c>
      <c r="C390" s="344"/>
      <c r="D390" s="344"/>
      <c r="E390" s="344"/>
      <c r="F390" s="344"/>
      <c r="G390" s="344"/>
      <c r="H390" s="344"/>
      <c r="I390" s="344"/>
      <c r="J390" s="344"/>
      <c r="K390" s="10"/>
      <c r="L390" s="10"/>
      <c r="M390" s="10"/>
      <c r="N390" s="10"/>
      <c r="O390" s="10"/>
      <c r="P390" s="10"/>
      <c r="Q390" s="10"/>
      <c r="R390" s="10"/>
      <c r="S390" s="10"/>
      <c r="T390" s="10"/>
      <c r="U390" s="10"/>
      <c r="V390" s="10"/>
      <c r="W390" s="10"/>
      <c r="X390" s="10"/>
      <c r="Y390" s="10"/>
    </row>
    <row r="391" spans="1:25" ht="16.5" customHeight="1" x14ac:dyDescent="0.2">
      <c r="A391" s="327" t="s">
        <v>120</v>
      </c>
      <c r="B391" s="328"/>
      <c r="C391" s="328"/>
      <c r="D391" s="182" t="s">
        <v>121</v>
      </c>
      <c r="E391" s="182" t="s">
        <v>122</v>
      </c>
      <c r="F391" s="182" t="s">
        <v>123</v>
      </c>
      <c r="G391" s="181" t="s">
        <v>124</v>
      </c>
      <c r="H391" s="181" t="s">
        <v>125</v>
      </c>
      <c r="I391" s="182" t="s">
        <v>126</v>
      </c>
      <c r="J391" s="182" t="s">
        <v>113</v>
      </c>
      <c r="K391" s="10"/>
      <c r="L391" s="10"/>
      <c r="M391" s="10"/>
      <c r="N391" s="10"/>
      <c r="O391" s="10"/>
      <c r="P391" s="10"/>
      <c r="Q391" s="10"/>
      <c r="R391" s="10"/>
      <c r="S391" s="10"/>
      <c r="T391" s="10"/>
      <c r="U391" s="10"/>
      <c r="V391" s="10"/>
      <c r="W391" s="10"/>
      <c r="X391" s="10"/>
      <c r="Y391" s="10"/>
    </row>
    <row r="392" spans="1:25" s="169" customFormat="1" ht="16.5" customHeight="1" x14ac:dyDescent="0.2">
      <c r="A392" s="316" t="s">
        <v>763</v>
      </c>
      <c r="B392" s="317"/>
      <c r="C392" s="317"/>
      <c r="D392" s="148"/>
      <c r="E392" s="148"/>
      <c r="F392" s="148"/>
      <c r="G392" s="148">
        <v>7</v>
      </c>
      <c r="H392" s="148">
        <v>39.57</v>
      </c>
      <c r="I392" s="148"/>
      <c r="J392" s="170">
        <f t="shared" ref="J392:J411" si="20">PRODUCT(D392:H392)-I392</f>
        <v>276.99</v>
      </c>
      <c r="K392" s="171"/>
      <c r="L392" s="171"/>
      <c r="M392" s="171"/>
      <c r="N392" s="171"/>
      <c r="O392" s="171"/>
      <c r="P392" s="171"/>
      <c r="Q392" s="171"/>
      <c r="R392" s="171"/>
      <c r="S392" s="171"/>
      <c r="T392" s="171"/>
      <c r="U392" s="171"/>
      <c r="V392" s="171"/>
      <c r="W392" s="171"/>
      <c r="X392" s="171"/>
      <c r="Y392" s="171"/>
    </row>
    <row r="393" spans="1:25" s="169" customFormat="1" ht="16.5" customHeight="1" x14ac:dyDescent="0.2">
      <c r="A393" s="316" t="s">
        <v>764</v>
      </c>
      <c r="B393" s="317"/>
      <c r="C393" s="317"/>
      <c r="D393" s="148"/>
      <c r="E393" s="148"/>
      <c r="F393" s="148"/>
      <c r="G393" s="148">
        <v>7</v>
      </c>
      <c r="H393" s="148">
        <v>39.57</v>
      </c>
      <c r="I393" s="148"/>
      <c r="J393" s="170">
        <f t="shared" si="20"/>
        <v>276.99</v>
      </c>
      <c r="K393" s="171"/>
      <c r="L393" s="171"/>
      <c r="M393" s="171"/>
      <c r="N393" s="171"/>
      <c r="O393" s="171"/>
      <c r="P393" s="171"/>
      <c r="Q393" s="171"/>
      <c r="R393" s="171"/>
      <c r="S393" s="171"/>
      <c r="T393" s="171"/>
      <c r="U393" s="171"/>
      <c r="V393" s="171"/>
      <c r="W393" s="171"/>
      <c r="X393" s="171"/>
      <c r="Y393" s="171"/>
    </row>
    <row r="394" spans="1:25" s="169" customFormat="1" ht="16.5" customHeight="1" x14ac:dyDescent="0.2">
      <c r="A394" s="316" t="s">
        <v>765</v>
      </c>
      <c r="B394" s="317"/>
      <c r="C394" s="317"/>
      <c r="D394" s="148"/>
      <c r="E394" s="148"/>
      <c r="F394" s="148"/>
      <c r="G394" s="148">
        <v>7</v>
      </c>
      <c r="H394" s="148">
        <v>39.57</v>
      </c>
      <c r="I394" s="148"/>
      <c r="J394" s="170">
        <f t="shared" si="20"/>
        <v>276.99</v>
      </c>
      <c r="K394" s="171"/>
      <c r="L394" s="171"/>
      <c r="M394" s="171"/>
      <c r="N394" s="171"/>
      <c r="O394" s="171"/>
      <c r="P394" s="171"/>
      <c r="Q394" s="171"/>
      <c r="R394" s="171"/>
      <c r="S394" s="171"/>
      <c r="T394" s="171"/>
      <c r="U394" s="171"/>
      <c r="V394" s="171"/>
      <c r="W394" s="171"/>
      <c r="X394" s="171"/>
      <c r="Y394" s="171"/>
    </row>
    <row r="395" spans="1:25" s="169" customFormat="1" ht="16.5" customHeight="1" x14ac:dyDescent="0.2">
      <c r="A395" s="316" t="s">
        <v>766</v>
      </c>
      <c r="B395" s="317"/>
      <c r="C395" s="317"/>
      <c r="D395" s="148"/>
      <c r="E395" s="148"/>
      <c r="F395" s="148"/>
      <c r="G395" s="148">
        <v>7</v>
      </c>
      <c r="H395" s="148">
        <v>39.57</v>
      </c>
      <c r="I395" s="148"/>
      <c r="J395" s="170">
        <f t="shared" si="20"/>
        <v>276.99</v>
      </c>
      <c r="K395" s="171"/>
      <c r="L395" s="171"/>
      <c r="M395" s="171"/>
      <c r="N395" s="171"/>
      <c r="O395" s="171"/>
      <c r="P395" s="171"/>
      <c r="Q395" s="171"/>
      <c r="R395" s="171"/>
      <c r="S395" s="171"/>
      <c r="T395" s="171"/>
      <c r="U395" s="171"/>
      <c r="V395" s="171"/>
      <c r="W395" s="171"/>
      <c r="X395" s="171"/>
      <c r="Y395" s="171"/>
    </row>
    <row r="396" spans="1:25" s="169" customFormat="1" ht="16.5" customHeight="1" x14ac:dyDescent="0.2">
      <c r="A396" s="316" t="s">
        <v>767</v>
      </c>
      <c r="B396" s="317"/>
      <c r="C396" s="317"/>
      <c r="D396" s="148"/>
      <c r="E396" s="148"/>
      <c r="F396" s="148"/>
      <c r="G396" s="148">
        <v>7</v>
      </c>
      <c r="H396" s="148">
        <f>20.55+1.2*16*0.17</f>
        <v>23.814</v>
      </c>
      <c r="I396" s="148"/>
      <c r="J396" s="170">
        <f t="shared" si="20"/>
        <v>166.69800000000001</v>
      </c>
      <c r="K396" s="171"/>
      <c r="L396" s="171"/>
      <c r="M396" s="171"/>
      <c r="N396" s="171"/>
      <c r="O396" s="171"/>
      <c r="P396" s="171"/>
      <c r="Q396" s="171"/>
      <c r="R396" s="171"/>
      <c r="S396" s="171"/>
      <c r="T396" s="171"/>
      <c r="U396" s="171"/>
      <c r="V396" s="171"/>
      <c r="W396" s="171"/>
      <c r="X396" s="171"/>
      <c r="Y396" s="171"/>
    </row>
    <row r="397" spans="1:25" s="169" customFormat="1" ht="16.5" customHeight="1" x14ac:dyDescent="0.2">
      <c r="A397" s="316" t="s">
        <v>675</v>
      </c>
      <c r="B397" s="317"/>
      <c r="C397" s="317"/>
      <c r="D397" s="148"/>
      <c r="E397" s="148"/>
      <c r="F397" s="148"/>
      <c r="G397" s="148">
        <v>7</v>
      </c>
      <c r="H397" s="148">
        <v>39.57</v>
      </c>
      <c r="I397" s="148"/>
      <c r="J397" s="170">
        <f t="shared" si="20"/>
        <v>276.99</v>
      </c>
      <c r="K397" s="171"/>
      <c r="L397" s="171"/>
      <c r="M397" s="171"/>
      <c r="N397" s="171"/>
      <c r="O397" s="171"/>
      <c r="P397" s="171"/>
      <c r="Q397" s="171"/>
      <c r="R397" s="171"/>
      <c r="S397" s="171"/>
      <c r="T397" s="171"/>
      <c r="U397" s="171"/>
      <c r="V397" s="171"/>
      <c r="W397" s="171"/>
      <c r="X397" s="171"/>
      <c r="Y397" s="171"/>
    </row>
    <row r="398" spans="1:25" s="169" customFormat="1" ht="16.5" customHeight="1" x14ac:dyDescent="0.2">
      <c r="A398" s="316" t="s">
        <v>676</v>
      </c>
      <c r="B398" s="317"/>
      <c r="C398" s="317"/>
      <c r="D398" s="148"/>
      <c r="E398" s="148"/>
      <c r="F398" s="148"/>
      <c r="G398" s="148">
        <v>7</v>
      </c>
      <c r="H398" s="148">
        <v>39.57</v>
      </c>
      <c r="I398" s="148"/>
      <c r="J398" s="170">
        <f t="shared" si="20"/>
        <v>276.99</v>
      </c>
      <c r="K398" s="171"/>
      <c r="L398" s="171"/>
      <c r="M398" s="171"/>
      <c r="N398" s="171"/>
      <c r="O398" s="171"/>
      <c r="P398" s="171"/>
      <c r="Q398" s="171"/>
      <c r="R398" s="171"/>
      <c r="S398" s="171"/>
      <c r="T398" s="171"/>
      <c r="U398" s="171"/>
      <c r="V398" s="171"/>
      <c r="W398" s="171"/>
      <c r="X398" s="171"/>
      <c r="Y398" s="171"/>
    </row>
    <row r="399" spans="1:25" s="169" customFormat="1" ht="16.5" customHeight="1" x14ac:dyDescent="0.2">
      <c r="A399" s="316" t="s">
        <v>677</v>
      </c>
      <c r="B399" s="317"/>
      <c r="C399" s="317"/>
      <c r="D399" s="148"/>
      <c r="E399" s="148"/>
      <c r="F399" s="148"/>
      <c r="G399" s="148">
        <v>7</v>
      </c>
      <c r="H399" s="148">
        <v>39.57</v>
      </c>
      <c r="I399" s="148"/>
      <c r="J399" s="170">
        <f t="shared" si="20"/>
        <v>276.99</v>
      </c>
      <c r="K399" s="171"/>
      <c r="L399" s="171"/>
      <c r="M399" s="171"/>
      <c r="N399" s="171"/>
      <c r="O399" s="171"/>
      <c r="P399" s="171"/>
      <c r="Q399" s="171"/>
      <c r="R399" s="171"/>
      <c r="S399" s="171"/>
      <c r="T399" s="171"/>
      <c r="U399" s="171"/>
      <c r="V399" s="171"/>
      <c r="W399" s="171"/>
      <c r="X399" s="171"/>
      <c r="Y399" s="171"/>
    </row>
    <row r="400" spans="1:25" s="169" customFormat="1" ht="16.5" customHeight="1" x14ac:dyDescent="0.2">
      <c r="A400" s="316" t="s">
        <v>678</v>
      </c>
      <c r="B400" s="317"/>
      <c r="C400" s="317"/>
      <c r="D400" s="148"/>
      <c r="E400" s="148"/>
      <c r="F400" s="148"/>
      <c r="G400" s="148">
        <v>7</v>
      </c>
      <c r="H400" s="148">
        <v>39.57</v>
      </c>
      <c r="I400" s="148"/>
      <c r="J400" s="170">
        <f t="shared" si="20"/>
        <v>276.99</v>
      </c>
      <c r="K400" s="171"/>
      <c r="L400" s="171"/>
      <c r="M400" s="171"/>
      <c r="N400" s="171"/>
      <c r="O400" s="171"/>
      <c r="P400" s="171"/>
      <c r="Q400" s="171"/>
      <c r="R400" s="171"/>
      <c r="S400" s="171"/>
      <c r="T400" s="171"/>
      <c r="U400" s="171"/>
      <c r="V400" s="171"/>
      <c r="W400" s="171"/>
      <c r="X400" s="171"/>
      <c r="Y400" s="171"/>
    </row>
    <row r="401" spans="1:25" s="169" customFormat="1" ht="16.5" customHeight="1" x14ac:dyDescent="0.2">
      <c r="A401" s="316" t="s">
        <v>768</v>
      </c>
      <c r="B401" s="317"/>
      <c r="C401" s="317"/>
      <c r="D401" s="148"/>
      <c r="E401" s="148"/>
      <c r="F401" s="148"/>
      <c r="G401" s="148">
        <v>7</v>
      </c>
      <c r="H401" s="148">
        <f>20.55+1.2*16*0.17</f>
        <v>23.814</v>
      </c>
      <c r="I401" s="148"/>
      <c r="J401" s="170">
        <f t="shared" si="20"/>
        <v>166.69800000000001</v>
      </c>
      <c r="K401" s="171"/>
      <c r="L401" s="171"/>
      <c r="M401" s="171"/>
      <c r="N401" s="171"/>
      <c r="O401" s="171"/>
      <c r="P401" s="171"/>
      <c r="Q401" s="171"/>
      <c r="R401" s="171"/>
      <c r="S401" s="171"/>
      <c r="T401" s="171"/>
      <c r="U401" s="171"/>
      <c r="V401" s="171"/>
      <c r="W401" s="171"/>
      <c r="X401" s="171"/>
      <c r="Y401" s="171"/>
    </row>
    <row r="402" spans="1:25" s="169" customFormat="1" ht="16.5" customHeight="1" x14ac:dyDescent="0.2">
      <c r="A402" s="316" t="s">
        <v>679</v>
      </c>
      <c r="B402" s="317"/>
      <c r="C402" s="317"/>
      <c r="D402" s="148"/>
      <c r="E402" s="148"/>
      <c r="F402" s="148"/>
      <c r="G402" s="148">
        <v>7</v>
      </c>
      <c r="H402" s="148">
        <v>39.57</v>
      </c>
      <c r="I402" s="148"/>
      <c r="J402" s="170">
        <f t="shared" si="20"/>
        <v>276.99</v>
      </c>
      <c r="K402" s="171"/>
      <c r="L402" s="171"/>
      <c r="M402" s="171"/>
      <c r="N402" s="171"/>
      <c r="O402" s="171"/>
      <c r="P402" s="171"/>
      <c r="Q402" s="171"/>
      <c r="R402" s="171"/>
      <c r="S402" s="171"/>
      <c r="T402" s="171"/>
      <c r="U402" s="171"/>
      <c r="V402" s="171"/>
      <c r="W402" s="171"/>
      <c r="X402" s="171"/>
      <c r="Y402" s="171"/>
    </row>
    <row r="403" spans="1:25" s="169" customFormat="1" ht="16.5" customHeight="1" x14ac:dyDescent="0.2">
      <c r="A403" s="316" t="s">
        <v>769</v>
      </c>
      <c r="B403" s="317"/>
      <c r="C403" s="317"/>
      <c r="D403" s="148"/>
      <c r="E403" s="148"/>
      <c r="F403" s="148"/>
      <c r="G403" s="148">
        <v>7</v>
      </c>
      <c r="H403" s="148">
        <v>39.57</v>
      </c>
      <c r="I403" s="148"/>
      <c r="J403" s="170">
        <f t="shared" si="20"/>
        <v>276.99</v>
      </c>
      <c r="K403" s="171"/>
      <c r="L403" s="171"/>
      <c r="M403" s="171"/>
      <c r="N403" s="171"/>
      <c r="O403" s="171"/>
      <c r="P403" s="171"/>
      <c r="Q403" s="171"/>
      <c r="R403" s="171"/>
      <c r="S403" s="171"/>
      <c r="T403" s="171"/>
      <c r="U403" s="171"/>
      <c r="V403" s="171"/>
      <c r="W403" s="171"/>
      <c r="X403" s="171"/>
      <c r="Y403" s="171"/>
    </row>
    <row r="404" spans="1:25" s="169" customFormat="1" ht="16.5" customHeight="1" x14ac:dyDescent="0.2">
      <c r="A404" s="316" t="s">
        <v>681</v>
      </c>
      <c r="B404" s="317"/>
      <c r="C404" s="317"/>
      <c r="D404" s="148"/>
      <c r="E404" s="148"/>
      <c r="F404" s="148"/>
      <c r="G404" s="148">
        <v>7</v>
      </c>
      <c r="H404" s="148">
        <v>39.57</v>
      </c>
      <c r="I404" s="148"/>
      <c r="J404" s="170">
        <f t="shared" si="20"/>
        <v>276.99</v>
      </c>
      <c r="K404" s="171"/>
      <c r="L404" s="171"/>
      <c r="M404" s="171"/>
      <c r="N404" s="171"/>
      <c r="O404" s="171"/>
      <c r="P404" s="171"/>
      <c r="Q404" s="171"/>
      <c r="R404" s="171"/>
      <c r="S404" s="171"/>
      <c r="T404" s="171"/>
      <c r="U404" s="171"/>
      <c r="V404" s="171"/>
      <c r="W404" s="171"/>
      <c r="X404" s="171"/>
      <c r="Y404" s="171"/>
    </row>
    <row r="405" spans="1:25" s="169" customFormat="1" ht="16.5" customHeight="1" x14ac:dyDescent="0.2">
      <c r="A405" s="316" t="s">
        <v>682</v>
      </c>
      <c r="B405" s="317"/>
      <c r="C405" s="317"/>
      <c r="D405" s="148"/>
      <c r="E405" s="148"/>
      <c r="F405" s="148"/>
      <c r="G405" s="148">
        <v>7</v>
      </c>
      <c r="H405" s="148">
        <v>39.57</v>
      </c>
      <c r="I405" s="148"/>
      <c r="J405" s="170">
        <f t="shared" si="20"/>
        <v>276.99</v>
      </c>
      <c r="K405" s="171"/>
      <c r="L405" s="171"/>
      <c r="M405" s="171"/>
      <c r="N405" s="171"/>
      <c r="O405" s="171"/>
      <c r="P405" s="171"/>
      <c r="Q405" s="171"/>
      <c r="R405" s="171"/>
      <c r="S405" s="171"/>
      <c r="T405" s="171"/>
      <c r="U405" s="171"/>
      <c r="V405" s="171"/>
      <c r="W405" s="171"/>
      <c r="X405" s="171"/>
      <c r="Y405" s="171"/>
    </row>
    <row r="406" spans="1:25" s="169" customFormat="1" ht="16.5" customHeight="1" x14ac:dyDescent="0.2">
      <c r="A406" s="316" t="s">
        <v>770</v>
      </c>
      <c r="B406" s="317"/>
      <c r="C406" s="317"/>
      <c r="D406" s="148"/>
      <c r="E406" s="148"/>
      <c r="F406" s="148"/>
      <c r="G406" s="148">
        <v>7</v>
      </c>
      <c r="H406" s="148">
        <f>20.55+1.2*16*0.17</f>
        <v>23.814</v>
      </c>
      <c r="I406" s="148"/>
      <c r="J406" s="170">
        <f t="shared" si="20"/>
        <v>166.69800000000001</v>
      </c>
      <c r="K406" s="171"/>
      <c r="L406" s="171"/>
      <c r="M406" s="171"/>
      <c r="N406" s="171"/>
      <c r="O406" s="171"/>
      <c r="P406" s="171"/>
      <c r="Q406" s="171"/>
      <c r="R406" s="171"/>
      <c r="S406" s="171"/>
      <c r="T406" s="171"/>
      <c r="U406" s="171"/>
      <c r="V406" s="171"/>
      <c r="W406" s="171"/>
      <c r="X406" s="171"/>
      <c r="Y406" s="171"/>
    </row>
    <row r="407" spans="1:25" s="169" customFormat="1" ht="16.5" customHeight="1" x14ac:dyDescent="0.2">
      <c r="A407" s="316" t="s">
        <v>683</v>
      </c>
      <c r="B407" s="317"/>
      <c r="C407" s="317"/>
      <c r="D407" s="148"/>
      <c r="E407" s="148"/>
      <c r="F407" s="148"/>
      <c r="G407" s="148">
        <v>7</v>
      </c>
      <c r="H407" s="148">
        <v>39.57</v>
      </c>
      <c r="I407" s="148"/>
      <c r="J407" s="170">
        <f t="shared" si="20"/>
        <v>276.99</v>
      </c>
      <c r="K407" s="171"/>
      <c r="L407" s="171"/>
      <c r="M407" s="171"/>
      <c r="N407" s="171"/>
      <c r="O407" s="171"/>
      <c r="P407" s="171"/>
      <c r="Q407" s="171"/>
      <c r="R407" s="171"/>
      <c r="S407" s="171"/>
      <c r="T407" s="171"/>
      <c r="U407" s="171"/>
      <c r="V407" s="171"/>
      <c r="W407" s="171"/>
      <c r="X407" s="171"/>
      <c r="Y407" s="171"/>
    </row>
    <row r="408" spans="1:25" s="169" customFormat="1" ht="16.5" customHeight="1" x14ac:dyDescent="0.2">
      <c r="A408" s="316" t="s">
        <v>684</v>
      </c>
      <c r="B408" s="317"/>
      <c r="C408" s="317"/>
      <c r="D408" s="148"/>
      <c r="E408" s="148"/>
      <c r="F408" s="148"/>
      <c r="G408" s="148">
        <v>7</v>
      </c>
      <c r="H408" s="148">
        <v>39.57</v>
      </c>
      <c r="I408" s="148"/>
      <c r="J408" s="170">
        <f t="shared" si="20"/>
        <v>276.99</v>
      </c>
      <c r="K408" s="171"/>
      <c r="L408" s="171"/>
      <c r="M408" s="171"/>
      <c r="N408" s="171"/>
      <c r="O408" s="171"/>
      <c r="P408" s="171"/>
      <c r="Q408" s="171"/>
      <c r="R408" s="171"/>
      <c r="S408" s="171"/>
      <c r="T408" s="171"/>
      <c r="U408" s="171"/>
      <c r="V408" s="171"/>
      <c r="W408" s="171"/>
      <c r="X408" s="171"/>
      <c r="Y408" s="171"/>
    </row>
    <row r="409" spans="1:25" s="169" customFormat="1" ht="16.5" customHeight="1" x14ac:dyDescent="0.2">
      <c r="A409" s="316" t="s">
        <v>685</v>
      </c>
      <c r="B409" s="317"/>
      <c r="C409" s="317"/>
      <c r="D409" s="148"/>
      <c r="E409" s="148"/>
      <c r="F409" s="148"/>
      <c r="G409" s="148">
        <v>7</v>
      </c>
      <c r="H409" s="148">
        <v>39.57</v>
      </c>
      <c r="I409" s="148"/>
      <c r="J409" s="170">
        <f t="shared" si="20"/>
        <v>276.99</v>
      </c>
      <c r="K409" s="171"/>
      <c r="L409" s="171"/>
      <c r="M409" s="171"/>
      <c r="N409" s="171"/>
      <c r="O409" s="171"/>
      <c r="P409" s="171"/>
      <c r="Q409" s="171"/>
      <c r="R409" s="171"/>
      <c r="S409" s="171"/>
      <c r="T409" s="171"/>
      <c r="U409" s="171"/>
      <c r="V409" s="171"/>
      <c r="W409" s="171"/>
      <c r="X409" s="171"/>
      <c r="Y409" s="171"/>
    </row>
    <row r="410" spans="1:25" s="169" customFormat="1" ht="16.5" customHeight="1" x14ac:dyDescent="0.2">
      <c r="A410" s="316" t="s">
        <v>687</v>
      </c>
      <c r="B410" s="317"/>
      <c r="C410" s="317"/>
      <c r="D410" s="148"/>
      <c r="E410" s="148"/>
      <c r="F410" s="148"/>
      <c r="G410" s="148">
        <v>7</v>
      </c>
      <c r="H410" s="148">
        <v>39.57</v>
      </c>
      <c r="I410" s="148"/>
      <c r="J410" s="170">
        <f t="shared" si="20"/>
        <v>276.99</v>
      </c>
      <c r="K410" s="171"/>
      <c r="L410" s="171"/>
      <c r="M410" s="171"/>
      <c r="N410" s="171"/>
      <c r="O410" s="171"/>
      <c r="P410" s="171"/>
      <c r="Q410" s="171"/>
      <c r="R410" s="171"/>
      <c r="S410" s="171"/>
      <c r="T410" s="171"/>
      <c r="U410" s="171"/>
      <c r="V410" s="171"/>
      <c r="W410" s="171"/>
      <c r="X410" s="171"/>
      <c r="Y410" s="171"/>
    </row>
    <row r="411" spans="1:25" s="169" customFormat="1" ht="16.5" customHeight="1" x14ac:dyDescent="0.2">
      <c r="A411" s="316" t="s">
        <v>771</v>
      </c>
      <c r="B411" s="317"/>
      <c r="C411" s="317"/>
      <c r="D411" s="148"/>
      <c r="E411" s="148"/>
      <c r="F411" s="148"/>
      <c r="G411" s="148">
        <v>7</v>
      </c>
      <c r="H411" s="148">
        <v>9.31</v>
      </c>
      <c r="I411" s="148"/>
      <c r="J411" s="170">
        <f t="shared" si="20"/>
        <v>65.17</v>
      </c>
      <c r="K411" s="171"/>
      <c r="L411" s="171"/>
      <c r="M411" s="171"/>
      <c r="N411" s="171"/>
      <c r="O411" s="171"/>
      <c r="P411" s="171"/>
      <c r="Q411" s="171"/>
      <c r="R411" s="171"/>
      <c r="S411" s="171"/>
      <c r="T411" s="171"/>
      <c r="U411" s="171"/>
      <c r="V411" s="171"/>
      <c r="W411" s="171"/>
      <c r="X411" s="171"/>
      <c r="Y411" s="171"/>
    </row>
    <row r="412" spans="1:25" ht="16.5" customHeight="1" x14ac:dyDescent="0.2">
      <c r="A412" s="342" t="str">
        <f>"TOTAL - "&amp;'Planilha orçamentária'!F49</f>
        <v>TOTAL - M2</v>
      </c>
      <c r="B412" s="342"/>
      <c r="C412" s="342"/>
      <c r="D412" s="342"/>
      <c r="E412" s="342"/>
      <c r="F412" s="342"/>
      <c r="G412" s="342"/>
      <c r="H412" s="342"/>
      <c r="I412" s="342"/>
      <c r="J412" s="149">
        <f>SUM(J392:J411)</f>
        <v>4997.1039999999994</v>
      </c>
      <c r="K412" s="10"/>
      <c r="L412" s="10"/>
      <c r="M412" s="10"/>
      <c r="N412" s="10"/>
      <c r="O412" s="10"/>
      <c r="P412" s="10"/>
      <c r="Q412" s="10"/>
      <c r="R412" s="10"/>
      <c r="S412" s="10"/>
      <c r="T412" s="10"/>
      <c r="U412" s="10"/>
      <c r="V412" s="10"/>
      <c r="W412" s="10"/>
      <c r="X412" s="10"/>
      <c r="Y412" s="10"/>
    </row>
    <row r="413" spans="1:25" ht="16.5" customHeight="1" x14ac:dyDescent="0.2">
      <c r="A413" s="184" t="str">
        <f>'Planilha orçamentária'!A51</f>
        <v>8.4</v>
      </c>
      <c r="B413" s="343" t="str">
        <f>'Planilha orçamentária'!D51</f>
        <v>Rodapé com revestimento em cerâmica esmaltada comercial, altura 10cm, PEI IV, assentamento com argamassa industrializada, inclusive rejuntamento</v>
      </c>
      <c r="C413" s="344"/>
      <c r="D413" s="344"/>
      <c r="E413" s="344"/>
      <c r="F413" s="344"/>
      <c r="G413" s="344"/>
      <c r="H413" s="344"/>
      <c r="I413" s="344"/>
      <c r="J413" s="344"/>
      <c r="K413" s="10"/>
      <c r="L413" s="10"/>
      <c r="M413" s="10"/>
      <c r="N413" s="10"/>
      <c r="O413" s="10"/>
      <c r="P413" s="10"/>
      <c r="Q413" s="10"/>
      <c r="R413" s="10"/>
      <c r="S413" s="10"/>
      <c r="T413" s="10"/>
      <c r="U413" s="10"/>
      <c r="V413" s="10"/>
      <c r="W413" s="10"/>
      <c r="X413" s="10"/>
      <c r="Y413" s="10"/>
    </row>
    <row r="414" spans="1:25" ht="16.5" customHeight="1" x14ac:dyDescent="0.2">
      <c r="A414" s="327" t="s">
        <v>120</v>
      </c>
      <c r="B414" s="328"/>
      <c r="C414" s="328"/>
      <c r="D414" s="182" t="s">
        <v>121</v>
      </c>
      <c r="E414" s="182" t="s">
        <v>122</v>
      </c>
      <c r="F414" s="182" t="s">
        <v>123</v>
      </c>
      <c r="G414" s="181" t="s">
        <v>124</v>
      </c>
      <c r="H414" s="181" t="s">
        <v>125</v>
      </c>
      <c r="I414" s="182" t="s">
        <v>126</v>
      </c>
      <c r="J414" s="182" t="s">
        <v>113</v>
      </c>
      <c r="K414" s="10"/>
      <c r="L414" s="10"/>
      <c r="M414" s="10"/>
      <c r="N414" s="10"/>
      <c r="O414" s="10"/>
      <c r="P414" s="10"/>
      <c r="Q414" s="10"/>
      <c r="R414" s="10"/>
      <c r="S414" s="10"/>
      <c r="T414" s="10"/>
      <c r="U414" s="10"/>
      <c r="V414" s="10"/>
      <c r="W414" s="10"/>
      <c r="X414" s="10"/>
      <c r="Y414" s="10"/>
    </row>
    <row r="415" spans="1:25" ht="16.5" customHeight="1" x14ac:dyDescent="0.2">
      <c r="A415" s="321" t="s">
        <v>671</v>
      </c>
      <c r="B415" s="323"/>
      <c r="C415" s="33" t="s">
        <v>319</v>
      </c>
      <c r="D415" s="148">
        <f>2.6*2+2.9*2-0.7</f>
        <v>10.3</v>
      </c>
      <c r="E415" s="148"/>
      <c r="F415" s="148"/>
      <c r="G415" s="148">
        <v>7</v>
      </c>
      <c r="H415" s="148"/>
      <c r="I415" s="148"/>
      <c r="J415" s="170">
        <f t="shared" ref="J415:J466" si="21">PRODUCT(D415:H415)-I415</f>
        <v>72.100000000000009</v>
      </c>
      <c r="K415" s="10"/>
      <c r="L415" s="10"/>
      <c r="M415" s="10"/>
      <c r="N415" s="10"/>
      <c r="O415" s="10"/>
      <c r="P415" s="10"/>
      <c r="Q415" s="10"/>
      <c r="R415" s="10"/>
      <c r="S415" s="10"/>
      <c r="T415" s="10"/>
      <c r="U415" s="10"/>
      <c r="V415" s="10"/>
      <c r="W415" s="10"/>
      <c r="X415" s="10"/>
      <c r="Y415" s="10"/>
    </row>
    <row r="416" spans="1:25" ht="16.5" customHeight="1" x14ac:dyDescent="0.2">
      <c r="A416" s="329"/>
      <c r="B416" s="330"/>
      <c r="C416" s="33" t="s">
        <v>320</v>
      </c>
      <c r="D416" s="148">
        <f>2.4*2+2.9*2-0.7</f>
        <v>9.9</v>
      </c>
      <c r="E416" s="148"/>
      <c r="F416" s="148"/>
      <c r="G416" s="148">
        <v>7</v>
      </c>
      <c r="H416" s="148"/>
      <c r="I416" s="148"/>
      <c r="J416" s="170">
        <f t="shared" si="21"/>
        <v>69.3</v>
      </c>
      <c r="K416" s="10"/>
      <c r="L416" s="10"/>
      <c r="M416" s="10"/>
      <c r="N416" s="10"/>
      <c r="O416" s="10"/>
      <c r="P416" s="10"/>
      <c r="Q416" s="10"/>
      <c r="R416" s="10"/>
      <c r="S416" s="10"/>
      <c r="T416" s="10"/>
      <c r="U416" s="10"/>
      <c r="V416" s="10"/>
      <c r="W416" s="10"/>
      <c r="X416" s="10"/>
      <c r="Y416" s="10"/>
    </row>
    <row r="417" spans="1:25" ht="16.5" customHeight="1" x14ac:dyDescent="0.2">
      <c r="A417" s="324"/>
      <c r="B417" s="326"/>
      <c r="C417" s="33" t="s">
        <v>321</v>
      </c>
      <c r="D417" s="148">
        <f>1.05+2.4+5.23+2.4+2.03+1.05+1.2-0.7*3-0.8</f>
        <v>12.459999999999999</v>
      </c>
      <c r="E417" s="148"/>
      <c r="F417" s="148"/>
      <c r="G417" s="148">
        <v>7</v>
      </c>
      <c r="H417" s="148"/>
      <c r="I417" s="148"/>
      <c r="J417" s="170">
        <f t="shared" si="21"/>
        <v>87.22</v>
      </c>
      <c r="K417" s="10"/>
      <c r="L417" s="10"/>
      <c r="M417" s="10"/>
      <c r="N417" s="10"/>
      <c r="O417" s="10"/>
      <c r="P417" s="10"/>
      <c r="Q417" s="10"/>
      <c r="R417" s="10"/>
      <c r="S417" s="10"/>
      <c r="T417" s="10"/>
      <c r="U417" s="10"/>
      <c r="V417" s="10"/>
      <c r="W417" s="10"/>
      <c r="X417" s="10"/>
      <c r="Y417" s="10"/>
    </row>
    <row r="418" spans="1:25" ht="16.5" customHeight="1" x14ac:dyDescent="0.2">
      <c r="A418" s="321" t="s">
        <v>672</v>
      </c>
      <c r="B418" s="323"/>
      <c r="C418" s="33" t="s">
        <v>319</v>
      </c>
      <c r="D418" s="148">
        <f>2.6*2+2.9*2-0.7</f>
        <v>10.3</v>
      </c>
      <c r="E418" s="148"/>
      <c r="F418" s="148"/>
      <c r="G418" s="148">
        <v>7</v>
      </c>
      <c r="H418" s="148"/>
      <c r="I418" s="148"/>
      <c r="J418" s="170">
        <f t="shared" si="21"/>
        <v>72.100000000000009</v>
      </c>
      <c r="K418" s="10"/>
      <c r="L418" s="10"/>
      <c r="M418" s="10"/>
      <c r="N418" s="10"/>
      <c r="O418" s="10"/>
      <c r="P418" s="10"/>
      <c r="Q418" s="10"/>
      <c r="R418" s="10"/>
      <c r="S418" s="10"/>
      <c r="T418" s="10"/>
      <c r="U418" s="10"/>
      <c r="V418" s="10"/>
      <c r="W418" s="10"/>
      <c r="X418" s="10"/>
      <c r="Y418" s="10"/>
    </row>
    <row r="419" spans="1:25" ht="16.5" customHeight="1" x14ac:dyDescent="0.2">
      <c r="A419" s="329"/>
      <c r="B419" s="330"/>
      <c r="C419" s="33" t="s">
        <v>320</v>
      </c>
      <c r="D419" s="148">
        <f>2.4*2+2.9*2-0.7</f>
        <v>9.9</v>
      </c>
      <c r="E419" s="148"/>
      <c r="F419" s="148"/>
      <c r="G419" s="148">
        <v>7</v>
      </c>
      <c r="H419" s="148"/>
      <c r="I419" s="148"/>
      <c r="J419" s="170">
        <f t="shared" si="21"/>
        <v>69.3</v>
      </c>
      <c r="K419" s="10"/>
      <c r="L419" s="10"/>
      <c r="M419" s="10"/>
      <c r="N419" s="10"/>
      <c r="O419" s="10"/>
      <c r="P419" s="10"/>
      <c r="Q419" s="10"/>
      <c r="R419" s="10"/>
      <c r="S419" s="10"/>
      <c r="T419" s="10"/>
      <c r="U419" s="10"/>
      <c r="V419" s="10"/>
      <c r="W419" s="10"/>
      <c r="X419" s="10"/>
      <c r="Y419" s="10"/>
    </row>
    <row r="420" spans="1:25" ht="16.5" customHeight="1" x14ac:dyDescent="0.2">
      <c r="A420" s="324"/>
      <c r="B420" s="326"/>
      <c r="C420" s="33" t="s">
        <v>321</v>
      </c>
      <c r="D420" s="148">
        <f>1.05+2.4+5.23+2.4+2.03+1.05+1.2-0.7*3-0.8</f>
        <v>12.459999999999999</v>
      </c>
      <c r="E420" s="148"/>
      <c r="F420" s="148"/>
      <c r="G420" s="148">
        <v>7</v>
      </c>
      <c r="H420" s="148"/>
      <c r="I420" s="148"/>
      <c r="J420" s="170">
        <f t="shared" si="21"/>
        <v>87.22</v>
      </c>
      <c r="K420" s="10"/>
      <c r="L420" s="10"/>
      <c r="M420" s="10"/>
      <c r="N420" s="10"/>
      <c r="O420" s="10"/>
      <c r="P420" s="10"/>
      <c r="Q420" s="10"/>
      <c r="R420" s="10"/>
      <c r="S420" s="10"/>
      <c r="T420" s="10"/>
      <c r="U420" s="10"/>
      <c r="V420" s="10"/>
      <c r="W420" s="10"/>
      <c r="X420" s="10"/>
      <c r="Y420" s="10"/>
    </row>
    <row r="421" spans="1:25" ht="16.5" customHeight="1" x14ac:dyDescent="0.2">
      <c r="A421" s="321" t="s">
        <v>673</v>
      </c>
      <c r="B421" s="323"/>
      <c r="C421" s="33" t="s">
        <v>319</v>
      </c>
      <c r="D421" s="148">
        <f>2.6*2+2.9*2-0.8</f>
        <v>10.199999999999999</v>
      </c>
      <c r="E421" s="148"/>
      <c r="F421" s="148"/>
      <c r="G421" s="148">
        <v>7</v>
      </c>
      <c r="H421" s="148"/>
      <c r="I421" s="148"/>
      <c r="J421" s="170">
        <f t="shared" si="21"/>
        <v>71.399999999999991</v>
      </c>
      <c r="K421" s="10"/>
      <c r="L421" s="10"/>
      <c r="M421" s="10"/>
      <c r="N421" s="10"/>
      <c r="O421" s="10"/>
      <c r="P421" s="10"/>
      <c r="Q421" s="10"/>
      <c r="R421" s="10"/>
      <c r="S421" s="10"/>
      <c r="T421" s="10"/>
      <c r="U421" s="10"/>
      <c r="V421" s="10"/>
      <c r="W421" s="10"/>
      <c r="X421" s="10"/>
      <c r="Y421" s="10"/>
    </row>
    <row r="422" spans="1:25" ht="16.5" customHeight="1" x14ac:dyDescent="0.2">
      <c r="A422" s="329"/>
      <c r="B422" s="330"/>
      <c r="C422" s="33" t="s">
        <v>320</v>
      </c>
      <c r="D422" s="148">
        <f>2.4*2+2.9*2-0.8</f>
        <v>9.7999999999999989</v>
      </c>
      <c r="E422" s="148"/>
      <c r="F422" s="148"/>
      <c r="G422" s="148">
        <v>7</v>
      </c>
      <c r="H422" s="148"/>
      <c r="I422" s="148"/>
      <c r="J422" s="170">
        <f t="shared" si="21"/>
        <v>68.599999999999994</v>
      </c>
      <c r="K422" s="10"/>
      <c r="L422" s="10"/>
      <c r="M422" s="10"/>
      <c r="N422" s="10"/>
      <c r="O422" s="10"/>
      <c r="P422" s="10"/>
      <c r="Q422" s="10"/>
      <c r="R422" s="10"/>
      <c r="S422" s="10"/>
      <c r="T422" s="10"/>
      <c r="U422" s="10"/>
      <c r="V422" s="10"/>
      <c r="W422" s="10"/>
      <c r="X422" s="10"/>
      <c r="Y422" s="10"/>
    </row>
    <row r="423" spans="1:25" ht="16.5" customHeight="1" x14ac:dyDescent="0.2">
      <c r="A423" s="324"/>
      <c r="B423" s="326"/>
      <c r="C423" s="33" t="s">
        <v>321</v>
      </c>
      <c r="D423" s="148">
        <f>1.05+2.4+5.23+2.4+2.03+1.05+1.2-4*0.8</f>
        <v>12.16</v>
      </c>
      <c r="E423" s="148"/>
      <c r="F423" s="148"/>
      <c r="G423" s="148">
        <v>7</v>
      </c>
      <c r="H423" s="148"/>
      <c r="I423" s="148"/>
      <c r="J423" s="170">
        <f t="shared" si="21"/>
        <v>85.12</v>
      </c>
      <c r="K423" s="10"/>
      <c r="L423" s="10"/>
      <c r="M423" s="10"/>
      <c r="N423" s="10"/>
      <c r="O423" s="10"/>
      <c r="P423" s="10"/>
      <c r="Q423" s="10"/>
      <c r="R423" s="10"/>
      <c r="S423" s="10"/>
      <c r="T423" s="10"/>
      <c r="U423" s="10"/>
      <c r="V423" s="10"/>
      <c r="W423" s="10"/>
      <c r="X423" s="10"/>
      <c r="Y423" s="10"/>
    </row>
    <row r="424" spans="1:25" ht="16.5" customHeight="1" x14ac:dyDescent="0.2">
      <c r="A424" s="321" t="s">
        <v>772</v>
      </c>
      <c r="B424" s="323"/>
      <c r="C424" s="33" t="s">
        <v>319</v>
      </c>
      <c r="D424" s="148">
        <f>2.6*2+2.9*2-0.7</f>
        <v>10.3</v>
      </c>
      <c r="E424" s="148"/>
      <c r="F424" s="148"/>
      <c r="G424" s="148">
        <v>7</v>
      </c>
      <c r="H424" s="148"/>
      <c r="I424" s="148"/>
      <c r="J424" s="170">
        <f t="shared" si="21"/>
        <v>72.100000000000009</v>
      </c>
      <c r="K424" s="10"/>
      <c r="L424" s="10"/>
      <c r="M424" s="10"/>
      <c r="N424" s="10"/>
      <c r="O424" s="10"/>
      <c r="P424" s="10"/>
      <c r="Q424" s="10"/>
      <c r="R424" s="10"/>
      <c r="S424" s="10"/>
      <c r="T424" s="10"/>
      <c r="U424" s="10"/>
      <c r="V424" s="10"/>
      <c r="W424" s="10"/>
      <c r="X424" s="10"/>
      <c r="Y424" s="10"/>
    </row>
    <row r="425" spans="1:25" ht="16.5" customHeight="1" x14ac:dyDescent="0.2">
      <c r="A425" s="329"/>
      <c r="B425" s="330"/>
      <c r="C425" s="33" t="s">
        <v>320</v>
      </c>
      <c r="D425" s="148">
        <f>2.4*2+2.9*2-0.7</f>
        <v>9.9</v>
      </c>
      <c r="E425" s="148"/>
      <c r="F425" s="148"/>
      <c r="G425" s="148">
        <v>7</v>
      </c>
      <c r="H425" s="148"/>
      <c r="I425" s="148"/>
      <c r="J425" s="170">
        <f t="shared" si="21"/>
        <v>69.3</v>
      </c>
      <c r="K425" s="10"/>
      <c r="L425" s="10"/>
      <c r="M425" s="10"/>
      <c r="N425" s="10"/>
      <c r="O425" s="10"/>
      <c r="P425" s="10"/>
      <c r="Q425" s="10"/>
      <c r="R425" s="10"/>
      <c r="S425" s="10"/>
      <c r="T425" s="10"/>
      <c r="U425" s="10"/>
      <c r="V425" s="10"/>
      <c r="W425" s="10"/>
      <c r="X425" s="10"/>
      <c r="Y425" s="10"/>
    </row>
    <row r="426" spans="1:25" ht="16.5" customHeight="1" x14ac:dyDescent="0.2">
      <c r="A426" s="324"/>
      <c r="B426" s="326"/>
      <c r="C426" s="33" t="s">
        <v>321</v>
      </c>
      <c r="D426" s="148">
        <f>1.05+2.4+5.23+2.4+2.03+1.05+1.2-0.7*3-0.8</f>
        <v>12.459999999999999</v>
      </c>
      <c r="E426" s="148"/>
      <c r="F426" s="148"/>
      <c r="G426" s="148">
        <v>7</v>
      </c>
      <c r="H426" s="148"/>
      <c r="I426" s="148"/>
      <c r="J426" s="170">
        <f t="shared" si="21"/>
        <v>87.22</v>
      </c>
      <c r="K426" s="10"/>
      <c r="L426" s="10"/>
      <c r="M426" s="10"/>
      <c r="N426" s="10"/>
      <c r="O426" s="10"/>
      <c r="P426" s="10"/>
      <c r="Q426" s="10"/>
      <c r="R426" s="10"/>
      <c r="S426" s="10"/>
      <c r="T426" s="10"/>
      <c r="U426" s="10"/>
      <c r="V426" s="10"/>
      <c r="W426" s="10"/>
      <c r="X426" s="10"/>
      <c r="Y426" s="10"/>
    </row>
    <row r="427" spans="1:25" s="31" customFormat="1" ht="16.5" customHeight="1" x14ac:dyDescent="0.2">
      <c r="A427" s="318" t="s">
        <v>773</v>
      </c>
      <c r="B427" s="319"/>
      <c r="C427" s="332"/>
      <c r="D427" s="33">
        <f>4.44*2+4.63*2-0.8*4+16*0.17*2+0.15*2+1.74+0.72*2</f>
        <v>23.860000000000003</v>
      </c>
      <c r="E427" s="126"/>
      <c r="F427" s="126"/>
      <c r="G427" s="148">
        <v>7</v>
      </c>
      <c r="H427" s="170"/>
      <c r="I427" s="126"/>
      <c r="J427" s="170">
        <f t="shared" si="21"/>
        <v>167.02</v>
      </c>
      <c r="K427" s="150"/>
      <c r="L427" s="150"/>
      <c r="M427" s="150"/>
      <c r="N427" s="150"/>
      <c r="O427" s="150"/>
      <c r="P427" s="150"/>
      <c r="Q427" s="150"/>
      <c r="R427" s="150"/>
      <c r="S427" s="150"/>
      <c r="T427" s="150"/>
      <c r="U427" s="150"/>
      <c r="V427" s="150"/>
      <c r="W427" s="150"/>
      <c r="X427" s="150"/>
      <c r="Y427" s="150"/>
    </row>
    <row r="428" spans="1:25" ht="16.5" customHeight="1" x14ac:dyDescent="0.2">
      <c r="A428" s="321" t="s">
        <v>675</v>
      </c>
      <c r="B428" s="323"/>
      <c r="C428" s="33" t="s">
        <v>319</v>
      </c>
      <c r="D428" s="148">
        <f>2.6*2+2.9*2-0.7</f>
        <v>10.3</v>
      </c>
      <c r="E428" s="148"/>
      <c r="F428" s="148"/>
      <c r="G428" s="148">
        <v>7</v>
      </c>
      <c r="H428" s="148"/>
      <c r="I428" s="148"/>
      <c r="J428" s="170">
        <f t="shared" si="21"/>
        <v>72.100000000000009</v>
      </c>
      <c r="K428" s="10"/>
      <c r="L428" s="10"/>
      <c r="M428" s="10"/>
      <c r="N428" s="10"/>
      <c r="O428" s="10"/>
      <c r="P428" s="10"/>
      <c r="Q428" s="10"/>
      <c r="R428" s="10"/>
      <c r="S428" s="10"/>
      <c r="T428" s="10"/>
      <c r="U428" s="10"/>
      <c r="V428" s="10"/>
      <c r="W428" s="10"/>
      <c r="X428" s="10"/>
      <c r="Y428" s="10"/>
    </row>
    <row r="429" spans="1:25" ht="16.5" customHeight="1" x14ac:dyDescent="0.2">
      <c r="A429" s="329"/>
      <c r="B429" s="330"/>
      <c r="C429" s="33" t="s">
        <v>320</v>
      </c>
      <c r="D429" s="148">
        <f>2.4*2+2.9*2-0.7</f>
        <v>9.9</v>
      </c>
      <c r="E429" s="148"/>
      <c r="F429" s="148"/>
      <c r="G429" s="148">
        <v>7</v>
      </c>
      <c r="H429" s="148"/>
      <c r="I429" s="148"/>
      <c r="J429" s="170">
        <f t="shared" si="21"/>
        <v>69.3</v>
      </c>
      <c r="K429" s="10"/>
      <c r="L429" s="10"/>
      <c r="M429" s="10"/>
      <c r="N429" s="10"/>
      <c r="O429" s="10"/>
      <c r="P429" s="10"/>
      <c r="Q429" s="10"/>
      <c r="R429" s="10"/>
      <c r="S429" s="10"/>
      <c r="T429" s="10"/>
      <c r="U429" s="10"/>
      <c r="V429" s="10"/>
      <c r="W429" s="10"/>
      <c r="X429" s="10"/>
      <c r="Y429" s="10"/>
    </row>
    <row r="430" spans="1:25" ht="16.5" customHeight="1" x14ac:dyDescent="0.2">
      <c r="A430" s="324"/>
      <c r="B430" s="326"/>
      <c r="C430" s="33" t="s">
        <v>321</v>
      </c>
      <c r="D430" s="148">
        <f>1.05+2.4+5.23+2.4+2.03+1.05+1.2-0.7*3-0.8</f>
        <v>12.459999999999999</v>
      </c>
      <c r="E430" s="148"/>
      <c r="F430" s="148"/>
      <c r="G430" s="148">
        <v>7</v>
      </c>
      <c r="H430" s="148"/>
      <c r="I430" s="148"/>
      <c r="J430" s="170">
        <f t="shared" si="21"/>
        <v>87.22</v>
      </c>
      <c r="K430" s="10"/>
      <c r="L430" s="10"/>
      <c r="M430" s="10"/>
      <c r="N430" s="10"/>
      <c r="O430" s="10"/>
      <c r="P430" s="10"/>
      <c r="Q430" s="10"/>
      <c r="R430" s="10"/>
      <c r="S430" s="10"/>
      <c r="T430" s="10"/>
      <c r="U430" s="10"/>
      <c r="V430" s="10"/>
      <c r="W430" s="10"/>
      <c r="X430" s="10"/>
      <c r="Y430" s="10"/>
    </row>
    <row r="431" spans="1:25" ht="16.5" customHeight="1" x14ac:dyDescent="0.2">
      <c r="A431" s="321" t="s">
        <v>676</v>
      </c>
      <c r="B431" s="323"/>
      <c r="C431" s="33" t="s">
        <v>338</v>
      </c>
      <c r="D431" s="148">
        <f>2.6*2+2.9*2-0.7</f>
        <v>10.3</v>
      </c>
      <c r="E431" s="148"/>
      <c r="F431" s="148"/>
      <c r="G431" s="148">
        <v>7</v>
      </c>
      <c r="H431" s="148"/>
      <c r="I431" s="148"/>
      <c r="J431" s="170">
        <f t="shared" si="21"/>
        <v>72.100000000000009</v>
      </c>
      <c r="K431" s="10"/>
      <c r="L431" s="10"/>
      <c r="M431" s="10"/>
      <c r="N431" s="10"/>
      <c r="O431" s="10"/>
      <c r="P431" s="10"/>
      <c r="Q431" s="10"/>
      <c r="R431" s="10"/>
      <c r="S431" s="10"/>
      <c r="T431" s="10"/>
      <c r="U431" s="10"/>
      <c r="V431" s="10"/>
      <c r="W431" s="10"/>
      <c r="X431" s="10"/>
      <c r="Y431" s="10"/>
    </row>
    <row r="432" spans="1:25" ht="16.5" customHeight="1" x14ac:dyDescent="0.2">
      <c r="A432" s="329"/>
      <c r="B432" s="330"/>
      <c r="C432" s="33" t="s">
        <v>339</v>
      </c>
      <c r="D432" s="148">
        <f>2.4*2+2.9*2-0.7</f>
        <v>9.9</v>
      </c>
      <c r="E432" s="148"/>
      <c r="F432" s="148"/>
      <c r="G432" s="148">
        <v>7</v>
      </c>
      <c r="H432" s="148"/>
      <c r="I432" s="148"/>
      <c r="J432" s="170">
        <f t="shared" si="21"/>
        <v>69.3</v>
      </c>
      <c r="K432" s="10"/>
      <c r="L432" s="10"/>
      <c r="M432" s="10"/>
      <c r="N432" s="10"/>
      <c r="O432" s="10"/>
      <c r="P432" s="10"/>
      <c r="Q432" s="10"/>
      <c r="R432" s="10"/>
      <c r="S432" s="10"/>
      <c r="T432" s="10"/>
      <c r="U432" s="10"/>
      <c r="V432" s="10"/>
      <c r="W432" s="10"/>
      <c r="X432" s="10"/>
      <c r="Y432" s="10"/>
    </row>
    <row r="433" spans="1:25" ht="16.5" customHeight="1" x14ac:dyDescent="0.2">
      <c r="A433" s="324"/>
      <c r="B433" s="326"/>
      <c r="C433" s="33" t="s">
        <v>321</v>
      </c>
      <c r="D433" s="148">
        <f>1.05+2.4+5.23+2.4+2.03+1.05+1.2-0.7*3-0.8</f>
        <v>12.459999999999999</v>
      </c>
      <c r="E433" s="148"/>
      <c r="F433" s="148"/>
      <c r="G433" s="148">
        <v>7</v>
      </c>
      <c r="H433" s="148"/>
      <c r="I433" s="148"/>
      <c r="J433" s="170">
        <f t="shared" si="21"/>
        <v>87.22</v>
      </c>
      <c r="K433" s="10"/>
      <c r="L433" s="10"/>
      <c r="M433" s="10"/>
      <c r="N433" s="10"/>
      <c r="O433" s="10"/>
      <c r="P433" s="10"/>
      <c r="Q433" s="10"/>
      <c r="R433" s="10"/>
      <c r="S433" s="10"/>
      <c r="T433" s="10"/>
      <c r="U433" s="10"/>
      <c r="V433" s="10"/>
      <c r="W433" s="10"/>
      <c r="X433" s="10"/>
      <c r="Y433" s="10"/>
    </row>
    <row r="434" spans="1:25" ht="16.5" customHeight="1" x14ac:dyDescent="0.2">
      <c r="A434" s="321" t="s">
        <v>677</v>
      </c>
      <c r="B434" s="323"/>
      <c r="C434" s="33" t="s">
        <v>340</v>
      </c>
      <c r="D434" s="148">
        <f>2.6*2+2.9*2-0.7</f>
        <v>10.3</v>
      </c>
      <c r="E434" s="148"/>
      <c r="F434" s="148"/>
      <c r="G434" s="148">
        <v>7</v>
      </c>
      <c r="H434" s="148"/>
      <c r="I434" s="148"/>
      <c r="J434" s="170">
        <f t="shared" si="21"/>
        <v>72.100000000000009</v>
      </c>
      <c r="K434" s="10"/>
      <c r="L434" s="10"/>
      <c r="M434" s="10"/>
      <c r="N434" s="10"/>
      <c r="O434" s="10"/>
      <c r="P434" s="10"/>
      <c r="Q434" s="10"/>
      <c r="R434" s="10"/>
      <c r="S434" s="10"/>
      <c r="T434" s="10"/>
      <c r="U434" s="10"/>
      <c r="V434" s="10"/>
      <c r="W434" s="10"/>
      <c r="X434" s="10"/>
      <c r="Y434" s="10"/>
    </row>
    <row r="435" spans="1:25" ht="16.5" customHeight="1" x14ac:dyDescent="0.2">
      <c r="A435" s="329"/>
      <c r="B435" s="330"/>
      <c r="C435" s="33" t="s">
        <v>341</v>
      </c>
      <c r="D435" s="148">
        <f>2.4*2+2.9*2-0.7</f>
        <v>9.9</v>
      </c>
      <c r="E435" s="148"/>
      <c r="F435" s="148"/>
      <c r="G435" s="148">
        <v>7</v>
      </c>
      <c r="H435" s="148"/>
      <c r="I435" s="148"/>
      <c r="J435" s="170">
        <f t="shared" si="21"/>
        <v>69.3</v>
      </c>
      <c r="K435" s="10"/>
      <c r="L435" s="10"/>
      <c r="M435" s="10"/>
      <c r="N435" s="10"/>
      <c r="O435" s="10"/>
      <c r="P435" s="10"/>
      <c r="Q435" s="10"/>
      <c r="R435" s="10"/>
      <c r="S435" s="10"/>
      <c r="T435" s="10"/>
      <c r="U435" s="10"/>
      <c r="V435" s="10"/>
      <c r="W435" s="10"/>
      <c r="X435" s="10"/>
      <c r="Y435" s="10"/>
    </row>
    <row r="436" spans="1:25" ht="16.5" customHeight="1" x14ac:dyDescent="0.2">
      <c r="A436" s="324"/>
      <c r="B436" s="326"/>
      <c r="C436" s="33" t="s">
        <v>321</v>
      </c>
      <c r="D436" s="148">
        <f>1.05+2.4+5.23+2.4+2.03+1.05+1.2-0.7*3-0.8</f>
        <v>12.459999999999999</v>
      </c>
      <c r="E436" s="148"/>
      <c r="F436" s="148"/>
      <c r="G436" s="148">
        <v>7</v>
      </c>
      <c r="H436" s="148"/>
      <c r="I436" s="148"/>
      <c r="J436" s="170">
        <f t="shared" si="21"/>
        <v>87.22</v>
      </c>
      <c r="K436" s="10"/>
      <c r="L436" s="10"/>
      <c r="M436" s="10"/>
      <c r="N436" s="10"/>
      <c r="O436" s="10"/>
      <c r="P436" s="10"/>
      <c r="Q436" s="10"/>
      <c r="R436" s="10"/>
      <c r="S436" s="10"/>
      <c r="T436" s="10"/>
      <c r="U436" s="10"/>
      <c r="V436" s="10"/>
      <c r="W436" s="10"/>
      <c r="X436" s="10"/>
      <c r="Y436" s="10"/>
    </row>
    <row r="437" spans="1:25" ht="16.5" customHeight="1" x14ac:dyDescent="0.2">
      <c r="A437" s="321" t="s">
        <v>678</v>
      </c>
      <c r="B437" s="323"/>
      <c r="C437" s="33" t="s">
        <v>342</v>
      </c>
      <c r="D437" s="148">
        <f>2.6*2+2.9*2-0.7</f>
        <v>10.3</v>
      </c>
      <c r="E437" s="148"/>
      <c r="F437" s="148"/>
      <c r="G437" s="148">
        <v>7</v>
      </c>
      <c r="H437" s="148"/>
      <c r="I437" s="148"/>
      <c r="J437" s="170">
        <f t="shared" si="21"/>
        <v>72.100000000000009</v>
      </c>
      <c r="K437" s="10"/>
      <c r="L437" s="10"/>
      <c r="M437" s="10"/>
      <c r="N437" s="10"/>
      <c r="O437" s="10"/>
      <c r="P437" s="10"/>
      <c r="Q437" s="10"/>
      <c r="R437" s="10"/>
      <c r="S437" s="10"/>
      <c r="T437" s="10"/>
      <c r="U437" s="10"/>
      <c r="V437" s="10"/>
      <c r="W437" s="10"/>
      <c r="X437" s="10"/>
      <c r="Y437" s="10"/>
    </row>
    <row r="438" spans="1:25" ht="16.5" customHeight="1" x14ac:dyDescent="0.2">
      <c r="A438" s="329"/>
      <c r="B438" s="330"/>
      <c r="C438" s="33" t="s">
        <v>343</v>
      </c>
      <c r="D438" s="148">
        <f>2.4*2+2.9*2-0.7</f>
        <v>9.9</v>
      </c>
      <c r="E438" s="148"/>
      <c r="F438" s="148"/>
      <c r="G438" s="148">
        <v>7</v>
      </c>
      <c r="H438" s="148"/>
      <c r="I438" s="148"/>
      <c r="J438" s="170">
        <f t="shared" si="21"/>
        <v>69.3</v>
      </c>
      <c r="K438" s="10"/>
      <c r="L438" s="10"/>
      <c r="M438" s="10"/>
      <c r="N438" s="10"/>
      <c r="O438" s="10"/>
      <c r="P438" s="10"/>
      <c r="Q438" s="10"/>
      <c r="R438" s="10"/>
      <c r="S438" s="10"/>
      <c r="T438" s="10"/>
      <c r="U438" s="10"/>
      <c r="V438" s="10"/>
      <c r="W438" s="10"/>
      <c r="X438" s="10"/>
      <c r="Y438" s="10"/>
    </row>
    <row r="439" spans="1:25" ht="16.5" customHeight="1" x14ac:dyDescent="0.2">
      <c r="A439" s="324"/>
      <c r="B439" s="326"/>
      <c r="C439" s="33" t="s">
        <v>321</v>
      </c>
      <c r="D439" s="148">
        <f>1.05+2.4+5.23+2.4+2.03+1.05+1.2-0.7*3-0.8</f>
        <v>12.459999999999999</v>
      </c>
      <c r="E439" s="148"/>
      <c r="F439" s="148"/>
      <c r="G439" s="148">
        <v>7</v>
      </c>
      <c r="H439" s="148"/>
      <c r="I439" s="148"/>
      <c r="J439" s="170">
        <f t="shared" si="21"/>
        <v>87.22</v>
      </c>
      <c r="K439" s="10"/>
      <c r="L439" s="10"/>
      <c r="M439" s="10"/>
      <c r="N439" s="10"/>
      <c r="O439" s="10"/>
      <c r="P439" s="10"/>
      <c r="Q439" s="10"/>
      <c r="R439" s="10"/>
      <c r="S439" s="10"/>
      <c r="T439" s="10"/>
      <c r="U439" s="10"/>
      <c r="V439" s="10"/>
      <c r="W439" s="10"/>
      <c r="X439" s="10"/>
      <c r="Y439" s="10"/>
    </row>
    <row r="440" spans="1:25" s="31" customFormat="1" ht="16.5" customHeight="1" x14ac:dyDescent="0.2">
      <c r="A440" s="318" t="s">
        <v>768</v>
      </c>
      <c r="B440" s="319"/>
      <c r="C440" s="332"/>
      <c r="D440" s="33">
        <f>4.44*2+4.63*2-0.8*4+16*0.17*2+0.15*2+1.74+0.72*2</f>
        <v>23.860000000000003</v>
      </c>
      <c r="E440" s="126"/>
      <c r="F440" s="126"/>
      <c r="G440" s="148">
        <v>7</v>
      </c>
      <c r="H440" s="170"/>
      <c r="I440" s="126"/>
      <c r="J440" s="170">
        <f t="shared" si="21"/>
        <v>167.02</v>
      </c>
      <c r="K440" s="150"/>
      <c r="L440" s="150"/>
      <c r="M440" s="150"/>
      <c r="N440" s="150"/>
      <c r="O440" s="150"/>
      <c r="P440" s="150"/>
      <c r="Q440" s="150"/>
      <c r="R440" s="150"/>
      <c r="S440" s="150"/>
      <c r="T440" s="150"/>
      <c r="U440" s="150"/>
      <c r="V440" s="150"/>
      <c r="W440" s="150"/>
      <c r="X440" s="150"/>
      <c r="Y440" s="150"/>
    </row>
    <row r="441" spans="1:25" ht="16.5" customHeight="1" x14ac:dyDescent="0.2">
      <c r="A441" s="321" t="s">
        <v>679</v>
      </c>
      <c r="B441" s="323"/>
      <c r="C441" s="33" t="s">
        <v>319</v>
      </c>
      <c r="D441" s="148">
        <f>2.6*2+2.9*2-0.7</f>
        <v>10.3</v>
      </c>
      <c r="E441" s="148"/>
      <c r="F441" s="148"/>
      <c r="G441" s="148">
        <v>7</v>
      </c>
      <c r="H441" s="148"/>
      <c r="I441" s="148"/>
      <c r="J441" s="170">
        <f t="shared" si="21"/>
        <v>72.100000000000009</v>
      </c>
      <c r="K441" s="10"/>
      <c r="L441" s="10"/>
      <c r="M441" s="10"/>
      <c r="N441" s="10"/>
      <c r="O441" s="10"/>
      <c r="P441" s="10"/>
      <c r="Q441" s="10"/>
      <c r="R441" s="10"/>
      <c r="S441" s="10"/>
      <c r="T441" s="10"/>
      <c r="U441" s="10"/>
      <c r="V441" s="10"/>
      <c r="W441" s="10"/>
      <c r="X441" s="10"/>
      <c r="Y441" s="10"/>
    </row>
    <row r="442" spans="1:25" ht="16.5" customHeight="1" x14ac:dyDescent="0.2">
      <c r="A442" s="329"/>
      <c r="B442" s="330"/>
      <c r="C442" s="33" t="s">
        <v>320</v>
      </c>
      <c r="D442" s="148">
        <f>2.4*2+2.9*2-0.7</f>
        <v>9.9</v>
      </c>
      <c r="E442" s="148"/>
      <c r="F442" s="148"/>
      <c r="G442" s="148">
        <v>7</v>
      </c>
      <c r="H442" s="148"/>
      <c r="I442" s="148"/>
      <c r="J442" s="170">
        <f t="shared" si="21"/>
        <v>69.3</v>
      </c>
      <c r="K442" s="10"/>
      <c r="L442" s="10"/>
      <c r="M442" s="10"/>
      <c r="N442" s="10"/>
      <c r="O442" s="10"/>
      <c r="P442" s="10"/>
      <c r="Q442" s="10"/>
      <c r="R442" s="10"/>
      <c r="S442" s="10"/>
      <c r="T442" s="10"/>
      <c r="U442" s="10"/>
      <c r="V442" s="10"/>
      <c r="W442" s="10"/>
      <c r="X442" s="10"/>
      <c r="Y442" s="10"/>
    </row>
    <row r="443" spans="1:25" ht="16.5" customHeight="1" x14ac:dyDescent="0.2">
      <c r="A443" s="324"/>
      <c r="B443" s="326"/>
      <c r="C443" s="33" t="s">
        <v>321</v>
      </c>
      <c r="D443" s="148">
        <f>1.05+2.4+5.23+2.4+2.03+1.05+1.2-0.7*3-0.8</f>
        <v>12.459999999999999</v>
      </c>
      <c r="E443" s="148"/>
      <c r="F443" s="148"/>
      <c r="G443" s="148">
        <v>7</v>
      </c>
      <c r="H443" s="148"/>
      <c r="I443" s="148"/>
      <c r="J443" s="170">
        <f t="shared" si="21"/>
        <v>87.22</v>
      </c>
      <c r="K443" s="10"/>
      <c r="L443" s="10"/>
      <c r="M443" s="10"/>
      <c r="N443" s="10"/>
      <c r="O443" s="10"/>
      <c r="P443" s="10"/>
      <c r="Q443" s="10"/>
      <c r="R443" s="10"/>
      <c r="S443" s="10"/>
      <c r="T443" s="10"/>
      <c r="U443" s="10"/>
      <c r="V443" s="10"/>
      <c r="W443" s="10"/>
      <c r="X443" s="10"/>
      <c r="Y443" s="10"/>
    </row>
    <row r="444" spans="1:25" ht="16.5" customHeight="1" x14ac:dyDescent="0.2">
      <c r="A444" s="321" t="s">
        <v>769</v>
      </c>
      <c r="B444" s="323"/>
      <c r="C444" s="33" t="s">
        <v>338</v>
      </c>
      <c r="D444" s="148">
        <f>2.6*2+2.9*2-0.7</f>
        <v>10.3</v>
      </c>
      <c r="E444" s="148"/>
      <c r="F444" s="148"/>
      <c r="G444" s="148">
        <v>7</v>
      </c>
      <c r="H444" s="148"/>
      <c r="I444" s="148"/>
      <c r="J444" s="170">
        <f t="shared" si="21"/>
        <v>72.100000000000009</v>
      </c>
      <c r="K444" s="10"/>
      <c r="L444" s="10"/>
      <c r="M444" s="10"/>
      <c r="N444" s="10"/>
      <c r="O444" s="10"/>
      <c r="P444" s="10"/>
      <c r="Q444" s="10"/>
      <c r="R444" s="10"/>
      <c r="S444" s="10"/>
      <c r="T444" s="10"/>
      <c r="U444" s="10"/>
      <c r="V444" s="10"/>
      <c r="W444" s="10"/>
      <c r="X444" s="10"/>
      <c r="Y444" s="10"/>
    </row>
    <row r="445" spans="1:25" ht="16.5" customHeight="1" x14ac:dyDescent="0.2">
      <c r="A445" s="329"/>
      <c r="B445" s="330"/>
      <c r="C445" s="33" t="s">
        <v>339</v>
      </c>
      <c r="D445" s="148">
        <f>2.4*2+2.9*2-0.7</f>
        <v>9.9</v>
      </c>
      <c r="E445" s="148"/>
      <c r="F445" s="148"/>
      <c r="G445" s="148">
        <v>7</v>
      </c>
      <c r="H445" s="148"/>
      <c r="I445" s="148"/>
      <c r="J445" s="170">
        <f t="shared" si="21"/>
        <v>69.3</v>
      </c>
      <c r="K445" s="10"/>
      <c r="L445" s="10"/>
      <c r="M445" s="10"/>
      <c r="N445" s="10"/>
      <c r="O445" s="10"/>
      <c r="P445" s="10"/>
      <c r="Q445" s="10"/>
      <c r="R445" s="10"/>
      <c r="S445" s="10"/>
      <c r="T445" s="10"/>
      <c r="U445" s="10"/>
      <c r="V445" s="10"/>
      <c r="W445" s="10"/>
      <c r="X445" s="10"/>
      <c r="Y445" s="10"/>
    </row>
    <row r="446" spans="1:25" ht="16.5" customHeight="1" x14ac:dyDescent="0.2">
      <c r="A446" s="324"/>
      <c r="B446" s="326"/>
      <c r="C446" s="33" t="s">
        <v>321</v>
      </c>
      <c r="D446" s="148">
        <f>1.05+2.4+5.23+2.4+2.03+1.05+1.2-0.7*3-0.8</f>
        <v>12.459999999999999</v>
      </c>
      <c r="E446" s="148"/>
      <c r="F446" s="148"/>
      <c r="G446" s="148">
        <v>7</v>
      </c>
      <c r="H446" s="148"/>
      <c r="I446" s="148"/>
      <c r="J446" s="170">
        <f t="shared" si="21"/>
        <v>87.22</v>
      </c>
      <c r="K446" s="10"/>
      <c r="L446" s="10"/>
      <c r="M446" s="10"/>
      <c r="N446" s="10"/>
      <c r="O446" s="10"/>
      <c r="P446" s="10"/>
      <c r="Q446" s="10"/>
      <c r="R446" s="10"/>
      <c r="S446" s="10"/>
      <c r="T446" s="10"/>
      <c r="U446" s="10"/>
      <c r="V446" s="10"/>
      <c r="W446" s="10"/>
      <c r="X446" s="10"/>
      <c r="Y446" s="10"/>
    </row>
    <row r="447" spans="1:25" ht="16.5" customHeight="1" x14ac:dyDescent="0.2">
      <c r="A447" s="321" t="s">
        <v>681</v>
      </c>
      <c r="B447" s="323"/>
      <c r="C447" s="33" t="s">
        <v>340</v>
      </c>
      <c r="D447" s="148">
        <f>2.6*2+2.9*2-0.7</f>
        <v>10.3</v>
      </c>
      <c r="E447" s="148"/>
      <c r="F447" s="148"/>
      <c r="G447" s="148">
        <v>7</v>
      </c>
      <c r="H447" s="148"/>
      <c r="I447" s="148"/>
      <c r="J447" s="170">
        <f t="shared" si="21"/>
        <v>72.100000000000009</v>
      </c>
      <c r="K447" s="10"/>
      <c r="L447" s="10"/>
      <c r="M447" s="10"/>
      <c r="N447" s="10"/>
      <c r="O447" s="10"/>
      <c r="P447" s="10"/>
      <c r="Q447" s="10"/>
      <c r="R447" s="10"/>
      <c r="S447" s="10"/>
      <c r="T447" s="10"/>
      <c r="U447" s="10"/>
      <c r="V447" s="10"/>
      <c r="W447" s="10"/>
      <c r="X447" s="10"/>
      <c r="Y447" s="10"/>
    </row>
    <row r="448" spans="1:25" ht="16.5" customHeight="1" x14ac:dyDescent="0.2">
      <c r="A448" s="329"/>
      <c r="B448" s="330"/>
      <c r="C448" s="33" t="s">
        <v>341</v>
      </c>
      <c r="D448" s="148">
        <f>2.4*2+2.9*2-0.7</f>
        <v>9.9</v>
      </c>
      <c r="E448" s="148"/>
      <c r="F448" s="148"/>
      <c r="G448" s="148">
        <v>7</v>
      </c>
      <c r="H448" s="148"/>
      <c r="I448" s="148"/>
      <c r="J448" s="170">
        <f t="shared" si="21"/>
        <v>69.3</v>
      </c>
      <c r="K448" s="10"/>
      <c r="L448" s="10"/>
      <c r="M448" s="10"/>
      <c r="N448" s="10"/>
      <c r="O448" s="10"/>
      <c r="P448" s="10"/>
      <c r="Q448" s="10"/>
      <c r="R448" s="10"/>
      <c r="S448" s="10"/>
      <c r="T448" s="10"/>
      <c r="U448" s="10"/>
      <c r="V448" s="10"/>
      <c r="W448" s="10"/>
      <c r="X448" s="10"/>
      <c r="Y448" s="10"/>
    </row>
    <row r="449" spans="1:25" ht="16.5" customHeight="1" x14ac:dyDescent="0.2">
      <c r="A449" s="324"/>
      <c r="B449" s="326"/>
      <c r="C449" s="33" t="s">
        <v>321</v>
      </c>
      <c r="D449" s="148">
        <f>1.05+2.4+5.23+2.4+2.03+1.05+1.2-0.7*3-0.8</f>
        <v>12.459999999999999</v>
      </c>
      <c r="E449" s="148"/>
      <c r="F449" s="148"/>
      <c r="G449" s="148">
        <v>7</v>
      </c>
      <c r="H449" s="148"/>
      <c r="I449" s="148"/>
      <c r="J449" s="170">
        <f t="shared" si="21"/>
        <v>87.22</v>
      </c>
      <c r="K449" s="10"/>
      <c r="L449" s="10"/>
      <c r="M449" s="10"/>
      <c r="N449" s="10"/>
      <c r="O449" s="10"/>
      <c r="P449" s="10"/>
      <c r="Q449" s="10"/>
      <c r="R449" s="10"/>
      <c r="S449" s="10"/>
      <c r="T449" s="10"/>
      <c r="U449" s="10"/>
      <c r="V449" s="10"/>
      <c r="W449" s="10"/>
      <c r="X449" s="10"/>
      <c r="Y449" s="10"/>
    </row>
    <row r="450" spans="1:25" ht="16.5" customHeight="1" x14ac:dyDescent="0.2">
      <c r="A450" s="321" t="s">
        <v>682</v>
      </c>
      <c r="B450" s="323"/>
      <c r="C450" s="33" t="s">
        <v>342</v>
      </c>
      <c r="D450" s="148">
        <f>2.6*2+2.9*2-0.7</f>
        <v>10.3</v>
      </c>
      <c r="E450" s="148"/>
      <c r="F450" s="148"/>
      <c r="G450" s="148">
        <v>7</v>
      </c>
      <c r="H450" s="148"/>
      <c r="I450" s="148"/>
      <c r="J450" s="170">
        <f t="shared" si="21"/>
        <v>72.100000000000009</v>
      </c>
      <c r="K450" s="10"/>
      <c r="L450" s="10"/>
      <c r="M450" s="10"/>
      <c r="N450" s="10"/>
      <c r="O450" s="10"/>
      <c r="P450" s="10"/>
      <c r="Q450" s="10"/>
      <c r="R450" s="10"/>
      <c r="S450" s="10"/>
      <c r="T450" s="10"/>
      <c r="U450" s="10"/>
      <c r="V450" s="10"/>
      <c r="W450" s="10"/>
      <c r="X450" s="10"/>
      <c r="Y450" s="10"/>
    </row>
    <row r="451" spans="1:25" ht="16.5" customHeight="1" x14ac:dyDescent="0.2">
      <c r="A451" s="329"/>
      <c r="B451" s="330"/>
      <c r="C451" s="33" t="s">
        <v>343</v>
      </c>
      <c r="D451" s="148">
        <f>2.4*2+2.9*2-0.7</f>
        <v>9.9</v>
      </c>
      <c r="E451" s="148"/>
      <c r="F451" s="148"/>
      <c r="G451" s="148">
        <v>7</v>
      </c>
      <c r="H451" s="148"/>
      <c r="I451" s="148"/>
      <c r="J451" s="170">
        <f t="shared" si="21"/>
        <v>69.3</v>
      </c>
      <c r="K451" s="10"/>
      <c r="L451" s="10"/>
      <c r="M451" s="10"/>
      <c r="N451" s="10"/>
      <c r="O451" s="10"/>
      <c r="P451" s="10"/>
      <c r="Q451" s="10"/>
      <c r="R451" s="10"/>
      <c r="S451" s="10"/>
      <c r="T451" s="10"/>
      <c r="U451" s="10"/>
      <c r="V451" s="10"/>
      <c r="W451" s="10"/>
      <c r="X451" s="10"/>
      <c r="Y451" s="10"/>
    </row>
    <row r="452" spans="1:25" ht="16.5" customHeight="1" x14ac:dyDescent="0.2">
      <c r="A452" s="324"/>
      <c r="B452" s="326"/>
      <c r="C452" s="33" t="s">
        <v>321</v>
      </c>
      <c r="D452" s="148">
        <f>1.05+2.4+5.23+2.4+2.03+1.05+1.2-0.7*3-0.8</f>
        <v>12.459999999999999</v>
      </c>
      <c r="E452" s="148"/>
      <c r="F452" s="148"/>
      <c r="G452" s="148">
        <v>7</v>
      </c>
      <c r="H452" s="148"/>
      <c r="I452" s="148"/>
      <c r="J452" s="170">
        <f t="shared" si="21"/>
        <v>87.22</v>
      </c>
      <c r="K452" s="10"/>
      <c r="L452" s="10"/>
      <c r="M452" s="10"/>
      <c r="N452" s="10"/>
      <c r="O452" s="10"/>
      <c r="P452" s="10"/>
      <c r="Q452" s="10"/>
      <c r="R452" s="10"/>
      <c r="S452" s="10"/>
      <c r="T452" s="10"/>
      <c r="U452" s="10"/>
      <c r="V452" s="10"/>
      <c r="W452" s="10"/>
      <c r="X452" s="10"/>
      <c r="Y452" s="10"/>
    </row>
    <row r="453" spans="1:25" s="31" customFormat="1" ht="16.5" customHeight="1" x14ac:dyDescent="0.2">
      <c r="A453" s="318" t="s">
        <v>774</v>
      </c>
      <c r="B453" s="319"/>
      <c r="C453" s="332"/>
      <c r="D453" s="33">
        <f>4.44*2+4.63*2-0.8*4+16*0.17*2+0.15*2+1.74+0.72*2</f>
        <v>23.860000000000003</v>
      </c>
      <c r="E453" s="126"/>
      <c r="F453" s="126"/>
      <c r="G453" s="148">
        <v>7</v>
      </c>
      <c r="H453" s="170"/>
      <c r="I453" s="126"/>
      <c r="J453" s="170">
        <f t="shared" si="21"/>
        <v>167.02</v>
      </c>
      <c r="K453" s="150"/>
      <c r="L453" s="150"/>
      <c r="M453" s="150"/>
      <c r="N453" s="150"/>
      <c r="O453" s="150"/>
      <c r="P453" s="150"/>
      <c r="Q453" s="150"/>
      <c r="R453" s="150"/>
      <c r="S453" s="150"/>
      <c r="T453" s="150"/>
      <c r="U453" s="150"/>
      <c r="V453" s="150"/>
      <c r="W453" s="150"/>
      <c r="X453" s="150"/>
      <c r="Y453" s="150"/>
    </row>
    <row r="454" spans="1:25" ht="16.5" customHeight="1" x14ac:dyDescent="0.2">
      <c r="A454" s="321" t="s">
        <v>683</v>
      </c>
      <c r="B454" s="323"/>
      <c r="C454" s="33" t="s">
        <v>319</v>
      </c>
      <c r="D454" s="148">
        <f>2.6*2+2.9*2-0.7</f>
        <v>10.3</v>
      </c>
      <c r="E454" s="148"/>
      <c r="F454" s="148"/>
      <c r="G454" s="148">
        <v>7</v>
      </c>
      <c r="H454" s="148"/>
      <c r="I454" s="148"/>
      <c r="J454" s="170">
        <f t="shared" si="21"/>
        <v>72.100000000000009</v>
      </c>
      <c r="K454" s="10"/>
      <c r="L454" s="10"/>
      <c r="M454" s="10"/>
      <c r="N454" s="10"/>
      <c r="O454" s="10"/>
      <c r="P454" s="10"/>
      <c r="Q454" s="10"/>
      <c r="R454" s="10"/>
      <c r="S454" s="10"/>
      <c r="T454" s="10"/>
      <c r="U454" s="10"/>
      <c r="V454" s="10"/>
      <c r="W454" s="10"/>
      <c r="X454" s="10"/>
      <c r="Y454" s="10"/>
    </row>
    <row r="455" spans="1:25" ht="16.5" customHeight="1" x14ac:dyDescent="0.2">
      <c r="A455" s="329"/>
      <c r="B455" s="330"/>
      <c r="C455" s="33" t="s">
        <v>320</v>
      </c>
      <c r="D455" s="148">
        <f>2.4*2+2.9*2-0.7</f>
        <v>9.9</v>
      </c>
      <c r="E455" s="148"/>
      <c r="F455" s="148"/>
      <c r="G455" s="148">
        <v>7</v>
      </c>
      <c r="H455" s="148"/>
      <c r="I455" s="148"/>
      <c r="J455" s="170">
        <f t="shared" si="21"/>
        <v>69.3</v>
      </c>
      <c r="K455" s="10"/>
      <c r="L455" s="10"/>
      <c r="M455" s="10"/>
      <c r="N455" s="10"/>
      <c r="O455" s="10"/>
      <c r="P455" s="10"/>
      <c r="Q455" s="10"/>
      <c r="R455" s="10"/>
      <c r="S455" s="10"/>
      <c r="T455" s="10"/>
      <c r="U455" s="10"/>
      <c r="V455" s="10"/>
      <c r="W455" s="10"/>
      <c r="X455" s="10"/>
      <c r="Y455" s="10"/>
    </row>
    <row r="456" spans="1:25" ht="16.5" customHeight="1" x14ac:dyDescent="0.2">
      <c r="A456" s="324"/>
      <c r="B456" s="326"/>
      <c r="C456" s="33" t="s">
        <v>321</v>
      </c>
      <c r="D456" s="148">
        <f>1.05+2.4+5.23+2.4+2.03+1.05+1.2-0.7*3-0.8</f>
        <v>12.459999999999999</v>
      </c>
      <c r="E456" s="148"/>
      <c r="F456" s="148"/>
      <c r="G456" s="148">
        <v>7</v>
      </c>
      <c r="H456" s="148"/>
      <c r="I456" s="148"/>
      <c r="J456" s="170">
        <f t="shared" si="21"/>
        <v>87.22</v>
      </c>
      <c r="K456" s="10"/>
      <c r="L456" s="10"/>
      <c r="M456" s="10"/>
      <c r="N456" s="10"/>
      <c r="O456" s="10"/>
      <c r="P456" s="10"/>
      <c r="Q456" s="10"/>
      <c r="R456" s="10"/>
      <c r="S456" s="10"/>
      <c r="T456" s="10"/>
      <c r="U456" s="10"/>
      <c r="V456" s="10"/>
      <c r="W456" s="10"/>
      <c r="X456" s="10"/>
      <c r="Y456" s="10"/>
    </row>
    <row r="457" spans="1:25" ht="16.5" customHeight="1" x14ac:dyDescent="0.2">
      <c r="A457" s="321" t="s">
        <v>684</v>
      </c>
      <c r="B457" s="323"/>
      <c r="C457" s="33" t="s">
        <v>338</v>
      </c>
      <c r="D457" s="148">
        <f>2.6*2+2.9*2-0.7</f>
        <v>10.3</v>
      </c>
      <c r="E457" s="148"/>
      <c r="F457" s="148"/>
      <c r="G457" s="148">
        <v>7</v>
      </c>
      <c r="H457" s="148"/>
      <c r="I457" s="148"/>
      <c r="J457" s="170">
        <f t="shared" si="21"/>
        <v>72.100000000000009</v>
      </c>
      <c r="K457" s="10"/>
      <c r="L457" s="10"/>
      <c r="M457" s="10"/>
      <c r="N457" s="10"/>
      <c r="O457" s="10"/>
      <c r="P457" s="10"/>
      <c r="Q457" s="10"/>
      <c r="R457" s="10"/>
      <c r="S457" s="10"/>
      <c r="T457" s="10"/>
      <c r="U457" s="10"/>
      <c r="V457" s="10"/>
      <c r="W457" s="10"/>
      <c r="X457" s="10"/>
      <c r="Y457" s="10"/>
    </row>
    <row r="458" spans="1:25" ht="16.5" customHeight="1" x14ac:dyDescent="0.2">
      <c r="A458" s="329"/>
      <c r="B458" s="330"/>
      <c r="C458" s="33" t="s">
        <v>339</v>
      </c>
      <c r="D458" s="148">
        <f>2.4*2+2.9*2-0.7</f>
        <v>9.9</v>
      </c>
      <c r="E458" s="148"/>
      <c r="F458" s="148"/>
      <c r="G458" s="148">
        <v>7</v>
      </c>
      <c r="H458" s="148"/>
      <c r="I458" s="148"/>
      <c r="J458" s="170">
        <f t="shared" si="21"/>
        <v>69.3</v>
      </c>
      <c r="K458" s="10"/>
      <c r="L458" s="10"/>
      <c r="M458" s="10"/>
      <c r="N458" s="10"/>
      <c r="O458" s="10"/>
      <c r="P458" s="10"/>
      <c r="Q458" s="10"/>
      <c r="R458" s="10"/>
      <c r="S458" s="10"/>
      <c r="T458" s="10"/>
      <c r="U458" s="10"/>
      <c r="V458" s="10"/>
      <c r="W458" s="10"/>
      <c r="X458" s="10"/>
      <c r="Y458" s="10"/>
    </row>
    <row r="459" spans="1:25" ht="16.5" customHeight="1" x14ac:dyDescent="0.2">
      <c r="A459" s="324"/>
      <c r="B459" s="326"/>
      <c r="C459" s="33" t="s">
        <v>321</v>
      </c>
      <c r="D459" s="148">
        <f>1.05+2.4+5.23+2.4+2.03+1.05+1.2-0.7*3-0.8</f>
        <v>12.459999999999999</v>
      </c>
      <c r="E459" s="148"/>
      <c r="F459" s="148"/>
      <c r="G459" s="148">
        <v>7</v>
      </c>
      <c r="H459" s="148"/>
      <c r="I459" s="148"/>
      <c r="J459" s="170">
        <f t="shared" si="21"/>
        <v>87.22</v>
      </c>
      <c r="K459" s="10"/>
      <c r="L459" s="10"/>
      <c r="M459" s="10"/>
      <c r="N459" s="10"/>
      <c r="O459" s="10"/>
      <c r="P459" s="10"/>
      <c r="Q459" s="10"/>
      <c r="R459" s="10"/>
      <c r="S459" s="10"/>
      <c r="T459" s="10"/>
      <c r="U459" s="10"/>
      <c r="V459" s="10"/>
      <c r="W459" s="10"/>
      <c r="X459" s="10"/>
      <c r="Y459" s="10"/>
    </row>
    <row r="460" spans="1:25" ht="16.5" customHeight="1" x14ac:dyDescent="0.2">
      <c r="A460" s="321" t="s">
        <v>685</v>
      </c>
      <c r="B460" s="323"/>
      <c r="C460" s="33" t="s">
        <v>340</v>
      </c>
      <c r="D460" s="148">
        <f>2.6*2+2.9*2-0.7</f>
        <v>10.3</v>
      </c>
      <c r="E460" s="148"/>
      <c r="F460" s="148"/>
      <c r="G460" s="148">
        <v>7</v>
      </c>
      <c r="H460" s="148"/>
      <c r="I460" s="148"/>
      <c r="J460" s="170">
        <f t="shared" si="21"/>
        <v>72.100000000000009</v>
      </c>
      <c r="K460" s="10"/>
      <c r="L460" s="10"/>
      <c r="M460" s="10"/>
      <c r="N460" s="10"/>
      <c r="O460" s="10"/>
      <c r="P460" s="10"/>
      <c r="Q460" s="10"/>
      <c r="R460" s="10"/>
      <c r="S460" s="10"/>
      <c r="T460" s="10"/>
      <c r="U460" s="10"/>
      <c r="V460" s="10"/>
      <c r="W460" s="10"/>
      <c r="X460" s="10"/>
      <c r="Y460" s="10"/>
    </row>
    <row r="461" spans="1:25" ht="16.5" customHeight="1" x14ac:dyDescent="0.2">
      <c r="A461" s="329"/>
      <c r="B461" s="330"/>
      <c r="C461" s="33" t="s">
        <v>341</v>
      </c>
      <c r="D461" s="148">
        <f>2.4*2+2.9*2-0.7</f>
        <v>9.9</v>
      </c>
      <c r="E461" s="148"/>
      <c r="F461" s="148"/>
      <c r="G461" s="148">
        <v>7</v>
      </c>
      <c r="H461" s="148"/>
      <c r="I461" s="148"/>
      <c r="J461" s="170">
        <f t="shared" si="21"/>
        <v>69.3</v>
      </c>
      <c r="K461" s="10"/>
      <c r="L461" s="10"/>
      <c r="M461" s="10"/>
      <c r="N461" s="10"/>
      <c r="O461" s="10"/>
      <c r="P461" s="10"/>
      <c r="Q461" s="10"/>
      <c r="R461" s="10"/>
      <c r="S461" s="10"/>
      <c r="T461" s="10"/>
      <c r="U461" s="10"/>
      <c r="V461" s="10"/>
      <c r="W461" s="10"/>
      <c r="X461" s="10"/>
      <c r="Y461" s="10"/>
    </row>
    <row r="462" spans="1:25" ht="16.5" customHeight="1" x14ac:dyDescent="0.2">
      <c r="A462" s="324"/>
      <c r="B462" s="326"/>
      <c r="C462" s="33" t="s">
        <v>321</v>
      </c>
      <c r="D462" s="148">
        <f>1.05+2.4+5.23+2.4+2.03+1.05+1.2-0.7*3-0.8</f>
        <v>12.459999999999999</v>
      </c>
      <c r="E462" s="148"/>
      <c r="F462" s="148"/>
      <c r="G462" s="148">
        <v>7</v>
      </c>
      <c r="H462" s="148"/>
      <c r="I462" s="148"/>
      <c r="J462" s="170">
        <f t="shared" si="21"/>
        <v>87.22</v>
      </c>
      <c r="K462" s="10"/>
      <c r="L462" s="10"/>
      <c r="M462" s="10"/>
      <c r="N462" s="10"/>
      <c r="O462" s="10"/>
      <c r="P462" s="10"/>
      <c r="Q462" s="10"/>
      <c r="R462" s="10"/>
      <c r="S462" s="10"/>
      <c r="T462" s="10"/>
      <c r="U462" s="10"/>
      <c r="V462" s="10"/>
      <c r="W462" s="10"/>
      <c r="X462" s="10"/>
      <c r="Y462" s="10"/>
    </row>
    <row r="463" spans="1:25" ht="16.5" customHeight="1" x14ac:dyDescent="0.2">
      <c r="A463" s="321" t="s">
        <v>687</v>
      </c>
      <c r="B463" s="323"/>
      <c r="C463" s="33" t="s">
        <v>342</v>
      </c>
      <c r="D463" s="148">
        <f>2.6*2+2.9*2-0.7</f>
        <v>10.3</v>
      </c>
      <c r="E463" s="148"/>
      <c r="F463" s="148"/>
      <c r="G463" s="148">
        <v>7</v>
      </c>
      <c r="H463" s="148"/>
      <c r="I463" s="148"/>
      <c r="J463" s="170">
        <f t="shared" si="21"/>
        <v>72.100000000000009</v>
      </c>
      <c r="K463" s="10"/>
      <c r="L463" s="10"/>
      <c r="M463" s="10"/>
      <c r="N463" s="10"/>
      <c r="O463" s="10"/>
      <c r="P463" s="10"/>
      <c r="Q463" s="10"/>
      <c r="R463" s="10"/>
      <c r="S463" s="10"/>
      <c r="T463" s="10"/>
      <c r="U463" s="10"/>
      <c r="V463" s="10"/>
      <c r="W463" s="10"/>
      <c r="X463" s="10"/>
      <c r="Y463" s="10"/>
    </row>
    <row r="464" spans="1:25" ht="16.5" customHeight="1" x14ac:dyDescent="0.2">
      <c r="A464" s="329"/>
      <c r="B464" s="330"/>
      <c r="C464" s="33" t="s">
        <v>343</v>
      </c>
      <c r="D464" s="148">
        <f>2.4*2+2.9*2-0.7</f>
        <v>9.9</v>
      </c>
      <c r="E464" s="148"/>
      <c r="F464" s="148"/>
      <c r="G464" s="148">
        <v>7</v>
      </c>
      <c r="H464" s="148"/>
      <c r="I464" s="148"/>
      <c r="J464" s="170">
        <f t="shared" si="21"/>
        <v>69.3</v>
      </c>
      <c r="K464" s="10"/>
      <c r="L464" s="10"/>
      <c r="M464" s="10"/>
      <c r="N464" s="10"/>
      <c r="O464" s="10"/>
      <c r="P464" s="10"/>
      <c r="Q464" s="10"/>
      <c r="R464" s="10"/>
      <c r="S464" s="10"/>
      <c r="T464" s="10"/>
      <c r="U464" s="10"/>
      <c r="V464" s="10"/>
      <c r="W464" s="10"/>
      <c r="X464" s="10"/>
      <c r="Y464" s="10"/>
    </row>
    <row r="465" spans="1:25" ht="16.5" customHeight="1" x14ac:dyDescent="0.2">
      <c r="A465" s="324"/>
      <c r="B465" s="326"/>
      <c r="C465" s="33" t="s">
        <v>321</v>
      </c>
      <c r="D465" s="148">
        <f>1.05+2.4+5.23+2.4+2.03+1.05+1.2-0.7*3-0.8</f>
        <v>12.459999999999999</v>
      </c>
      <c r="E465" s="148"/>
      <c r="F465" s="148"/>
      <c r="G465" s="148">
        <v>7</v>
      </c>
      <c r="H465" s="148"/>
      <c r="I465" s="148"/>
      <c r="J465" s="170">
        <f t="shared" si="21"/>
        <v>87.22</v>
      </c>
      <c r="K465" s="10"/>
      <c r="L465" s="10"/>
      <c r="M465" s="10"/>
      <c r="N465" s="10"/>
      <c r="O465" s="10"/>
      <c r="P465" s="10"/>
      <c r="Q465" s="10"/>
      <c r="R465" s="10"/>
      <c r="S465" s="10"/>
      <c r="T465" s="10"/>
      <c r="U465" s="10"/>
      <c r="V465" s="10"/>
      <c r="W465" s="10"/>
      <c r="X465" s="10"/>
      <c r="Y465" s="10"/>
    </row>
    <row r="466" spans="1:25" s="31" customFormat="1" ht="16.5" customHeight="1" x14ac:dyDescent="0.2">
      <c r="A466" s="318" t="s">
        <v>488</v>
      </c>
      <c r="B466" s="319"/>
      <c r="C466" s="332"/>
      <c r="D466" s="33">
        <f>2.55+4.44+2.56+0.15+0.72*2+1.74+1.35</f>
        <v>14.23</v>
      </c>
      <c r="E466" s="126"/>
      <c r="F466" s="126"/>
      <c r="G466" s="148">
        <v>7</v>
      </c>
      <c r="H466" s="170"/>
      <c r="I466" s="126"/>
      <c r="J466" s="170">
        <f t="shared" si="21"/>
        <v>99.61</v>
      </c>
      <c r="K466" s="150"/>
      <c r="L466" s="150"/>
      <c r="M466" s="150"/>
      <c r="N466" s="150"/>
      <c r="O466" s="150"/>
      <c r="P466" s="150"/>
      <c r="Q466" s="150"/>
      <c r="R466" s="150"/>
      <c r="S466" s="150"/>
      <c r="T466" s="150"/>
      <c r="U466" s="150"/>
      <c r="V466" s="150"/>
      <c r="W466" s="150"/>
      <c r="X466" s="150"/>
      <c r="Y466" s="150"/>
    </row>
    <row r="467" spans="1:25" ht="16.5" customHeight="1" x14ac:dyDescent="0.2">
      <c r="A467" s="342" t="str">
        <f>"TOTAL - "&amp;'Planilha orçamentária'!F52</f>
        <v>TOTAL - M2</v>
      </c>
      <c r="B467" s="342"/>
      <c r="C467" s="342"/>
      <c r="D467" s="342"/>
      <c r="E467" s="342"/>
      <c r="F467" s="342"/>
      <c r="G467" s="342"/>
      <c r="H467" s="342"/>
      <c r="I467" s="342"/>
      <c r="J467" s="149">
        <f>SUM(J415:J466)</f>
        <v>4255.0899999999983</v>
      </c>
      <c r="K467" s="10"/>
      <c r="L467" s="10"/>
      <c r="M467" s="10"/>
      <c r="N467" s="10"/>
      <c r="O467" s="10"/>
      <c r="P467" s="10"/>
      <c r="Q467" s="10"/>
      <c r="R467" s="10"/>
      <c r="S467" s="10"/>
      <c r="T467" s="10"/>
      <c r="U467" s="10"/>
      <c r="V467" s="10"/>
      <c r="W467" s="10"/>
      <c r="X467" s="10"/>
      <c r="Y467" s="10"/>
    </row>
    <row r="468" spans="1:25" ht="25.5" customHeight="1" x14ac:dyDescent="0.2">
      <c r="A468" s="184" t="str">
        <f>'Planilha orçamentária'!A52</f>
        <v>8.5</v>
      </c>
      <c r="B468" s="343" t="str">
        <f>'Planilha orçamentária'!D52</f>
        <v>Revestimento com cerâmica aplicado em parede, acabamento esmaltado, ambiente interno/externo, padrão extra, dimensão da peça até 2025 cm2, PEI III, assentamento com argamassa industrializada, inclusive rejuntamento</v>
      </c>
      <c r="C468" s="344"/>
      <c r="D468" s="344"/>
      <c r="E468" s="344"/>
      <c r="F468" s="344"/>
      <c r="G468" s="344"/>
      <c r="H468" s="344"/>
      <c r="I468" s="344"/>
      <c r="J468" s="344"/>
      <c r="K468" s="10"/>
      <c r="L468" s="10"/>
      <c r="M468" s="10"/>
      <c r="N468" s="10"/>
      <c r="O468" s="10"/>
      <c r="P468" s="10"/>
      <c r="Q468" s="10"/>
      <c r="R468" s="10"/>
      <c r="S468" s="10"/>
      <c r="T468" s="10"/>
      <c r="U468" s="10"/>
      <c r="V468" s="10"/>
      <c r="W468" s="10"/>
      <c r="X468" s="10"/>
      <c r="Y468" s="10"/>
    </row>
    <row r="469" spans="1:25" ht="16.5" customHeight="1" x14ac:dyDescent="0.2">
      <c r="A469" s="327" t="s">
        <v>120</v>
      </c>
      <c r="B469" s="328"/>
      <c r="C469" s="328"/>
      <c r="D469" s="182" t="s">
        <v>307</v>
      </c>
      <c r="E469" s="182" t="s">
        <v>122</v>
      </c>
      <c r="F469" s="182" t="s">
        <v>123</v>
      </c>
      <c r="G469" s="181" t="s">
        <v>124</v>
      </c>
      <c r="H469" s="181" t="s">
        <v>125</v>
      </c>
      <c r="I469" s="182" t="s">
        <v>126</v>
      </c>
      <c r="J469" s="182" t="s">
        <v>113</v>
      </c>
      <c r="K469" s="10"/>
      <c r="L469" s="10"/>
      <c r="M469" s="10"/>
      <c r="N469" s="10"/>
      <c r="O469" s="10"/>
      <c r="P469" s="10"/>
      <c r="Q469" s="10"/>
      <c r="R469" s="10"/>
      <c r="S469" s="10"/>
      <c r="T469" s="10"/>
      <c r="U469" s="10"/>
      <c r="V469" s="10"/>
      <c r="W469" s="10"/>
      <c r="X469" s="10"/>
      <c r="Y469" s="10"/>
    </row>
    <row r="470" spans="1:25" ht="16.5" customHeight="1" x14ac:dyDescent="0.2">
      <c r="A470" s="331" t="s">
        <v>671</v>
      </c>
      <c r="B470" s="331"/>
      <c r="C470" s="33" t="s">
        <v>312</v>
      </c>
      <c r="D470" s="148">
        <f>1.52+1.35+0.96+0.97+0.96+1.52+2.32</f>
        <v>9.6</v>
      </c>
      <c r="E470" s="148"/>
      <c r="F470" s="148">
        <v>2.6</v>
      </c>
      <c r="G470" s="148">
        <v>7</v>
      </c>
      <c r="H470" s="148"/>
      <c r="I470" s="148">
        <f>(0.7*2.1+1.2*0.6)*7</f>
        <v>15.33</v>
      </c>
      <c r="J470" s="170">
        <f t="shared" ref="J470:J501" si="22">PRODUCT(D470:H470)-I470</f>
        <v>159.38999999999999</v>
      </c>
      <c r="K470" s="10"/>
      <c r="L470" s="10"/>
      <c r="M470" s="10"/>
      <c r="N470" s="10"/>
      <c r="O470" s="10"/>
      <c r="P470" s="10"/>
      <c r="Q470" s="10"/>
      <c r="R470" s="10"/>
      <c r="S470" s="10"/>
      <c r="T470" s="10"/>
      <c r="U470" s="10"/>
      <c r="V470" s="10"/>
      <c r="W470" s="10"/>
      <c r="X470" s="10"/>
      <c r="Y470" s="10"/>
    </row>
    <row r="471" spans="1:25" ht="16.5" customHeight="1" x14ac:dyDescent="0.2">
      <c r="A471" s="331"/>
      <c r="B471" s="331"/>
      <c r="C471" s="33" t="s">
        <v>313</v>
      </c>
      <c r="D471" s="148">
        <f>0.72+2.57+2.48+1.52+0.7+0.16+0.95+1.05</f>
        <v>10.149999999999999</v>
      </c>
      <c r="E471" s="148"/>
      <c r="F471" s="148">
        <v>2.6</v>
      </c>
      <c r="G471" s="148">
        <v>7</v>
      </c>
      <c r="H471" s="148"/>
      <c r="I471" s="148">
        <f>1.2*1.2*7</f>
        <v>10.08</v>
      </c>
      <c r="J471" s="170">
        <f t="shared" si="22"/>
        <v>174.64999999999998</v>
      </c>
      <c r="K471" s="10"/>
      <c r="L471" s="10"/>
      <c r="M471" s="10"/>
      <c r="N471" s="10"/>
      <c r="O471" s="10"/>
      <c r="P471" s="10"/>
      <c r="Q471" s="10"/>
      <c r="R471" s="10"/>
      <c r="S471" s="10"/>
      <c r="T471" s="10"/>
      <c r="U471" s="10"/>
      <c r="V471" s="10"/>
      <c r="W471" s="10"/>
      <c r="X471" s="10"/>
      <c r="Y471" s="10"/>
    </row>
    <row r="472" spans="1:25" ht="16.5" customHeight="1" x14ac:dyDescent="0.2">
      <c r="A472" s="331" t="s">
        <v>672</v>
      </c>
      <c r="B472" s="331"/>
      <c r="C472" s="33" t="s">
        <v>312</v>
      </c>
      <c r="D472" s="148">
        <f>1.52+1.35+0.96+0.97+0.96+1.52+2.32</f>
        <v>9.6</v>
      </c>
      <c r="E472" s="148"/>
      <c r="F472" s="148">
        <v>2.6</v>
      </c>
      <c r="G472" s="148">
        <v>7</v>
      </c>
      <c r="H472" s="148"/>
      <c r="I472" s="148">
        <f>(0.7*2.1+1.2*0.6)*7</f>
        <v>15.33</v>
      </c>
      <c r="J472" s="170">
        <f t="shared" si="22"/>
        <v>159.38999999999999</v>
      </c>
      <c r="K472" s="10"/>
      <c r="L472" s="10"/>
      <c r="M472" s="10"/>
      <c r="N472" s="10"/>
      <c r="O472" s="10"/>
      <c r="P472" s="10"/>
      <c r="Q472" s="10"/>
      <c r="R472" s="10"/>
      <c r="S472" s="10"/>
      <c r="T472" s="10"/>
      <c r="U472" s="10"/>
      <c r="V472" s="10"/>
      <c r="W472" s="10"/>
      <c r="X472" s="10"/>
      <c r="Y472" s="10"/>
    </row>
    <row r="473" spans="1:25" ht="16.5" customHeight="1" x14ac:dyDescent="0.2">
      <c r="A473" s="331"/>
      <c r="B473" s="331"/>
      <c r="C473" s="33" t="s">
        <v>313</v>
      </c>
      <c r="D473" s="148">
        <f>0.72+2.57+2.48+1.52+0.7+0.16+0.95+1.05</f>
        <v>10.149999999999999</v>
      </c>
      <c r="E473" s="148"/>
      <c r="F473" s="148">
        <v>2.6</v>
      </c>
      <c r="G473" s="148">
        <v>7</v>
      </c>
      <c r="H473" s="148"/>
      <c r="I473" s="148">
        <f>1.2*1.2*7</f>
        <v>10.08</v>
      </c>
      <c r="J473" s="170">
        <f t="shared" si="22"/>
        <v>174.64999999999998</v>
      </c>
      <c r="K473" s="10"/>
      <c r="L473" s="10"/>
      <c r="M473" s="10"/>
      <c r="N473" s="10"/>
      <c r="O473" s="10"/>
      <c r="P473" s="10"/>
      <c r="Q473" s="10"/>
      <c r="R473" s="10"/>
      <c r="S473" s="10"/>
      <c r="T473" s="10"/>
      <c r="U473" s="10"/>
      <c r="V473" s="10"/>
      <c r="W473" s="10"/>
      <c r="X473" s="10"/>
      <c r="Y473" s="10"/>
    </row>
    <row r="474" spans="1:25" ht="16.5" customHeight="1" x14ac:dyDescent="0.2">
      <c r="A474" s="331" t="s">
        <v>673</v>
      </c>
      <c r="B474" s="331"/>
      <c r="C474" s="33" t="s">
        <v>312</v>
      </c>
      <c r="D474" s="148">
        <f>1.52+1.35+0.96+0.97+0.96+1.52+2.32</f>
        <v>9.6</v>
      </c>
      <c r="E474" s="148"/>
      <c r="F474" s="148">
        <v>2.6</v>
      </c>
      <c r="G474" s="148">
        <v>7</v>
      </c>
      <c r="H474" s="148"/>
      <c r="I474" s="148">
        <f>0.8*2.1*7+1.2*0.6*7</f>
        <v>16.8</v>
      </c>
      <c r="J474" s="170">
        <f t="shared" si="22"/>
        <v>157.91999999999999</v>
      </c>
      <c r="K474" s="10"/>
      <c r="L474" s="10"/>
      <c r="M474" s="10"/>
      <c r="N474" s="10"/>
      <c r="O474" s="10"/>
      <c r="P474" s="10"/>
      <c r="Q474" s="10"/>
      <c r="R474" s="10"/>
      <c r="S474" s="10"/>
      <c r="T474" s="10"/>
      <c r="U474" s="10"/>
      <c r="V474" s="10"/>
      <c r="W474" s="10"/>
      <c r="X474" s="10"/>
      <c r="Y474" s="10"/>
    </row>
    <row r="475" spans="1:25" ht="16.5" customHeight="1" x14ac:dyDescent="0.2">
      <c r="A475" s="331"/>
      <c r="B475" s="331"/>
      <c r="C475" s="33" t="s">
        <v>313</v>
      </c>
      <c r="D475" s="148">
        <f>0.72+2.57+2.48+1.52+0.7+0.16+0.95+1.05</f>
        <v>10.149999999999999</v>
      </c>
      <c r="E475" s="148"/>
      <c r="F475" s="148">
        <v>2.6</v>
      </c>
      <c r="G475" s="148">
        <v>7</v>
      </c>
      <c r="H475" s="148"/>
      <c r="I475" s="148">
        <f>1.2*1.2*7</f>
        <v>10.08</v>
      </c>
      <c r="J475" s="170">
        <f t="shared" si="22"/>
        <v>174.64999999999998</v>
      </c>
      <c r="K475" s="10"/>
      <c r="L475" s="10"/>
      <c r="M475" s="10"/>
      <c r="N475" s="10"/>
      <c r="O475" s="10"/>
      <c r="P475" s="10"/>
      <c r="Q475" s="10"/>
      <c r="R475" s="10"/>
      <c r="S475" s="10"/>
      <c r="T475" s="10"/>
      <c r="U475" s="10"/>
      <c r="V475" s="10"/>
      <c r="W475" s="10"/>
      <c r="X475" s="10"/>
      <c r="Y475" s="10"/>
    </row>
    <row r="476" spans="1:25" ht="16.5" customHeight="1" x14ac:dyDescent="0.2">
      <c r="A476" s="331" t="s">
        <v>674</v>
      </c>
      <c r="B476" s="331"/>
      <c r="C476" s="33" t="s">
        <v>312</v>
      </c>
      <c r="D476" s="148">
        <f>1.52+1.35+0.96+0.97+0.96+1.52+2.32</f>
        <v>9.6</v>
      </c>
      <c r="E476" s="148"/>
      <c r="F476" s="148">
        <v>2.6</v>
      </c>
      <c r="G476" s="148">
        <v>7</v>
      </c>
      <c r="H476" s="148"/>
      <c r="I476" s="148">
        <f>(0.7*2.1+1.2*0.6)*7</f>
        <v>15.33</v>
      </c>
      <c r="J476" s="170">
        <f t="shared" si="22"/>
        <v>159.38999999999999</v>
      </c>
      <c r="K476" s="10"/>
      <c r="L476" s="10"/>
      <c r="M476" s="10"/>
      <c r="N476" s="10"/>
      <c r="O476" s="10"/>
      <c r="P476" s="10"/>
      <c r="Q476" s="10"/>
      <c r="R476" s="10"/>
      <c r="S476" s="10"/>
      <c r="T476" s="10"/>
      <c r="U476" s="10"/>
      <c r="V476" s="10"/>
      <c r="W476" s="10"/>
      <c r="X476" s="10"/>
      <c r="Y476" s="10"/>
    </row>
    <row r="477" spans="1:25" ht="16.5" customHeight="1" x14ac:dyDescent="0.2">
      <c r="A477" s="331"/>
      <c r="B477" s="331"/>
      <c r="C477" s="33" t="s">
        <v>313</v>
      </c>
      <c r="D477" s="148">
        <f>0.72+2.57+2.48+1.52+0.7+0.16+0.95+1.05</f>
        <v>10.149999999999999</v>
      </c>
      <c r="E477" s="148"/>
      <c r="F477" s="148">
        <v>2.6</v>
      </c>
      <c r="G477" s="148">
        <v>7</v>
      </c>
      <c r="H477" s="148"/>
      <c r="I477" s="148">
        <f>1.2*1.2*7</f>
        <v>10.08</v>
      </c>
      <c r="J477" s="170">
        <f t="shared" si="22"/>
        <v>174.64999999999998</v>
      </c>
      <c r="K477" s="10"/>
      <c r="L477" s="10"/>
      <c r="M477" s="10"/>
      <c r="N477" s="10"/>
      <c r="O477" s="10"/>
      <c r="P477" s="10"/>
      <c r="Q477" s="10"/>
      <c r="R477" s="10"/>
      <c r="S477" s="10"/>
      <c r="T477" s="10"/>
      <c r="U477" s="10"/>
      <c r="V477" s="10"/>
      <c r="W477" s="10"/>
      <c r="X477" s="10"/>
      <c r="Y477" s="10"/>
    </row>
    <row r="478" spans="1:25" ht="16.5" customHeight="1" x14ac:dyDescent="0.2">
      <c r="A478" s="331" t="s">
        <v>675</v>
      </c>
      <c r="B478" s="331"/>
      <c r="C478" s="33" t="s">
        <v>312</v>
      </c>
      <c r="D478" s="148">
        <f>1.52+1.35+0.96+0.97+0.96+1.52+2.32</f>
        <v>9.6</v>
      </c>
      <c r="E478" s="148"/>
      <c r="F478" s="148">
        <v>2.6</v>
      </c>
      <c r="G478" s="148">
        <v>7</v>
      </c>
      <c r="H478" s="148"/>
      <c r="I478" s="148">
        <f>(0.7*2.1+1.2*0.6)*7</f>
        <v>15.33</v>
      </c>
      <c r="J478" s="170">
        <f t="shared" si="22"/>
        <v>159.38999999999999</v>
      </c>
      <c r="K478" s="10"/>
      <c r="L478" s="10"/>
      <c r="M478" s="10"/>
      <c r="N478" s="10"/>
      <c r="O478" s="10"/>
      <c r="P478" s="10"/>
      <c r="Q478" s="10"/>
      <c r="R478" s="10"/>
      <c r="S478" s="10"/>
      <c r="T478" s="10"/>
      <c r="U478" s="10"/>
      <c r="V478" s="10"/>
      <c r="W478" s="10"/>
      <c r="X478" s="10"/>
      <c r="Y478" s="10"/>
    </row>
    <row r="479" spans="1:25" ht="16.5" customHeight="1" x14ac:dyDescent="0.2">
      <c r="A479" s="331"/>
      <c r="B479" s="331"/>
      <c r="C479" s="33" t="s">
        <v>313</v>
      </c>
      <c r="D479" s="148">
        <f>0.72+2.57+2.48+1.52+0.7+0.16+0.95+1.05</f>
        <v>10.149999999999999</v>
      </c>
      <c r="E479" s="148"/>
      <c r="F479" s="148">
        <v>2.6</v>
      </c>
      <c r="G479" s="148">
        <v>7</v>
      </c>
      <c r="H479" s="148"/>
      <c r="I479" s="148">
        <f>1.2*1.2*7</f>
        <v>10.08</v>
      </c>
      <c r="J479" s="170">
        <f t="shared" si="22"/>
        <v>174.64999999999998</v>
      </c>
      <c r="K479" s="10"/>
      <c r="L479" s="10"/>
      <c r="M479" s="10"/>
      <c r="N479" s="10"/>
      <c r="O479" s="10"/>
      <c r="P479" s="10"/>
      <c r="Q479" s="10"/>
      <c r="R479" s="10"/>
      <c r="S479" s="10"/>
      <c r="T479" s="10"/>
      <c r="U479" s="10"/>
      <c r="V479" s="10"/>
      <c r="W479" s="10"/>
      <c r="X479" s="10"/>
      <c r="Y479" s="10"/>
    </row>
    <row r="480" spans="1:25" ht="16.5" customHeight="1" x14ac:dyDescent="0.2">
      <c r="A480" s="331" t="s">
        <v>676</v>
      </c>
      <c r="B480" s="331"/>
      <c r="C480" s="33" t="s">
        <v>312</v>
      </c>
      <c r="D480" s="148">
        <f>1.52+1.35+0.96+0.97+0.96+1.52+2.32</f>
        <v>9.6</v>
      </c>
      <c r="E480" s="148"/>
      <c r="F480" s="148">
        <v>2.6</v>
      </c>
      <c r="G480" s="148">
        <v>7</v>
      </c>
      <c r="H480" s="148"/>
      <c r="I480" s="148">
        <f>(0.7*2.1+1.2*0.6)*7</f>
        <v>15.33</v>
      </c>
      <c r="J480" s="170">
        <f t="shared" si="22"/>
        <v>159.38999999999999</v>
      </c>
      <c r="K480" s="10"/>
      <c r="L480" s="10"/>
      <c r="M480" s="10"/>
      <c r="N480" s="10"/>
      <c r="O480" s="10"/>
      <c r="P480" s="10"/>
      <c r="Q480" s="10"/>
      <c r="R480" s="10"/>
      <c r="S480" s="10"/>
      <c r="T480" s="10"/>
      <c r="U480" s="10"/>
      <c r="V480" s="10"/>
      <c r="W480" s="10"/>
      <c r="X480" s="10"/>
      <c r="Y480" s="10"/>
    </row>
    <row r="481" spans="1:25" ht="16.5" customHeight="1" x14ac:dyDescent="0.2">
      <c r="A481" s="331"/>
      <c r="B481" s="331"/>
      <c r="C481" s="33" t="s">
        <v>313</v>
      </c>
      <c r="D481" s="148">
        <f>0.72+2.57+2.48+1.52+0.7+0.16+0.95+1.05</f>
        <v>10.149999999999999</v>
      </c>
      <c r="E481" s="148"/>
      <c r="F481" s="148">
        <v>2.6</v>
      </c>
      <c r="G481" s="148">
        <v>7</v>
      </c>
      <c r="H481" s="148"/>
      <c r="I481" s="148">
        <f>1.2*1.2*7</f>
        <v>10.08</v>
      </c>
      <c r="J481" s="170">
        <f t="shared" si="22"/>
        <v>174.64999999999998</v>
      </c>
      <c r="K481" s="10"/>
      <c r="L481" s="10"/>
      <c r="M481" s="10"/>
      <c r="N481" s="10"/>
      <c r="O481" s="10"/>
      <c r="P481" s="10"/>
      <c r="Q481" s="10"/>
      <c r="R481" s="10"/>
      <c r="S481" s="10"/>
      <c r="T481" s="10"/>
      <c r="U481" s="10"/>
      <c r="V481" s="10"/>
      <c r="W481" s="10"/>
      <c r="X481" s="10"/>
      <c r="Y481" s="10"/>
    </row>
    <row r="482" spans="1:25" ht="16.5" customHeight="1" x14ac:dyDescent="0.2">
      <c r="A482" s="331" t="s">
        <v>677</v>
      </c>
      <c r="B482" s="331"/>
      <c r="C482" s="33" t="s">
        <v>312</v>
      </c>
      <c r="D482" s="148">
        <f>1.52+1.35+0.96+0.97+0.96+1.52+2.32</f>
        <v>9.6</v>
      </c>
      <c r="E482" s="148"/>
      <c r="F482" s="148">
        <v>2.6</v>
      </c>
      <c r="G482" s="148">
        <v>7</v>
      </c>
      <c r="H482" s="148"/>
      <c r="I482" s="148">
        <f>(0.7*2.1+1.2*0.6)*7</f>
        <v>15.33</v>
      </c>
      <c r="J482" s="170">
        <f t="shared" si="22"/>
        <v>159.38999999999999</v>
      </c>
      <c r="K482" s="10"/>
      <c r="L482" s="10"/>
      <c r="M482" s="10"/>
      <c r="N482" s="10"/>
      <c r="O482" s="10"/>
      <c r="P482" s="10"/>
      <c r="Q482" s="10"/>
      <c r="R482" s="10"/>
      <c r="S482" s="10"/>
      <c r="T482" s="10"/>
      <c r="U482" s="10"/>
      <c r="V482" s="10"/>
      <c r="W482" s="10"/>
      <c r="X482" s="10"/>
      <c r="Y482" s="10"/>
    </row>
    <row r="483" spans="1:25" ht="16.5" customHeight="1" x14ac:dyDescent="0.2">
      <c r="A483" s="331"/>
      <c r="B483" s="331"/>
      <c r="C483" s="33" t="s">
        <v>313</v>
      </c>
      <c r="D483" s="148">
        <f>0.72+2.57+2.48+1.52+0.7+0.16+0.95+1.05</f>
        <v>10.149999999999999</v>
      </c>
      <c r="E483" s="148"/>
      <c r="F483" s="148">
        <v>2.6</v>
      </c>
      <c r="G483" s="148">
        <v>7</v>
      </c>
      <c r="H483" s="148"/>
      <c r="I483" s="148">
        <f>1.2*1.2*7</f>
        <v>10.08</v>
      </c>
      <c r="J483" s="170">
        <f t="shared" si="22"/>
        <v>174.64999999999998</v>
      </c>
      <c r="K483" s="10"/>
      <c r="L483" s="10"/>
      <c r="M483" s="10"/>
      <c r="N483" s="10"/>
      <c r="O483" s="10"/>
      <c r="P483" s="10"/>
      <c r="Q483" s="10"/>
      <c r="R483" s="10"/>
      <c r="S483" s="10"/>
      <c r="T483" s="10"/>
      <c r="U483" s="10"/>
      <c r="V483" s="10"/>
      <c r="W483" s="10"/>
      <c r="X483" s="10"/>
      <c r="Y483" s="10"/>
    </row>
    <row r="484" spans="1:25" ht="16.5" customHeight="1" x14ac:dyDescent="0.2">
      <c r="A484" s="331" t="s">
        <v>678</v>
      </c>
      <c r="B484" s="331"/>
      <c r="C484" s="33" t="s">
        <v>312</v>
      </c>
      <c r="D484" s="148">
        <f>1.52+1.35+0.96+0.97+0.96+1.52+2.32</f>
        <v>9.6</v>
      </c>
      <c r="E484" s="148"/>
      <c r="F484" s="148">
        <v>2.6</v>
      </c>
      <c r="G484" s="148">
        <v>7</v>
      </c>
      <c r="H484" s="148"/>
      <c r="I484" s="148">
        <f>(0.7*2.1+1.2*0.6)*7</f>
        <v>15.33</v>
      </c>
      <c r="J484" s="170">
        <f t="shared" si="22"/>
        <v>159.38999999999999</v>
      </c>
      <c r="K484" s="10"/>
      <c r="L484" s="10"/>
      <c r="M484" s="10"/>
      <c r="N484" s="10"/>
      <c r="O484" s="10"/>
      <c r="P484" s="10"/>
      <c r="Q484" s="10"/>
      <c r="R484" s="10"/>
      <c r="S484" s="10"/>
      <c r="T484" s="10"/>
      <c r="U484" s="10"/>
      <c r="V484" s="10"/>
      <c r="W484" s="10"/>
      <c r="X484" s="10"/>
      <c r="Y484" s="10"/>
    </row>
    <row r="485" spans="1:25" ht="16.5" customHeight="1" x14ac:dyDescent="0.2">
      <c r="A485" s="331"/>
      <c r="B485" s="331"/>
      <c r="C485" s="33" t="s">
        <v>313</v>
      </c>
      <c r="D485" s="148">
        <f>0.72+2.57+2.48+1.52+0.7+0.16+0.95+1.05</f>
        <v>10.149999999999999</v>
      </c>
      <c r="E485" s="148"/>
      <c r="F485" s="148">
        <v>2.6</v>
      </c>
      <c r="G485" s="148">
        <v>7</v>
      </c>
      <c r="H485" s="148"/>
      <c r="I485" s="148">
        <f>1.2*1.2*7</f>
        <v>10.08</v>
      </c>
      <c r="J485" s="170">
        <f t="shared" si="22"/>
        <v>174.64999999999998</v>
      </c>
      <c r="K485" s="10"/>
      <c r="L485" s="10"/>
      <c r="M485" s="10"/>
      <c r="N485" s="10"/>
      <c r="O485" s="10"/>
      <c r="P485" s="10"/>
      <c r="Q485" s="10"/>
      <c r="R485" s="10"/>
      <c r="S485" s="10"/>
      <c r="T485" s="10"/>
      <c r="U485" s="10"/>
      <c r="V485" s="10"/>
      <c r="W485" s="10"/>
      <c r="X485" s="10"/>
      <c r="Y485" s="10"/>
    </row>
    <row r="486" spans="1:25" ht="16.5" customHeight="1" x14ac:dyDescent="0.2">
      <c r="A486" s="331" t="s">
        <v>679</v>
      </c>
      <c r="B486" s="331"/>
      <c r="C486" s="33" t="s">
        <v>312</v>
      </c>
      <c r="D486" s="148">
        <f>1.52+1.35+0.96+0.97+0.96+1.52+2.32</f>
        <v>9.6</v>
      </c>
      <c r="E486" s="148"/>
      <c r="F486" s="148">
        <v>2.6</v>
      </c>
      <c r="G486" s="148">
        <v>7</v>
      </c>
      <c r="H486" s="148"/>
      <c r="I486" s="148">
        <f>(0.7*2.1+1.2*0.6)*7</f>
        <v>15.33</v>
      </c>
      <c r="J486" s="170">
        <f t="shared" si="22"/>
        <v>159.38999999999999</v>
      </c>
      <c r="K486" s="10"/>
      <c r="L486" s="10"/>
      <c r="M486" s="10"/>
      <c r="N486" s="10"/>
      <c r="O486" s="10"/>
      <c r="P486" s="10"/>
      <c r="Q486" s="10"/>
      <c r="R486" s="10"/>
      <c r="S486" s="10"/>
      <c r="T486" s="10"/>
      <c r="U486" s="10"/>
      <c r="V486" s="10"/>
      <c r="W486" s="10"/>
      <c r="X486" s="10"/>
      <c r="Y486" s="10"/>
    </row>
    <row r="487" spans="1:25" ht="16.5" customHeight="1" x14ac:dyDescent="0.2">
      <c r="A487" s="331"/>
      <c r="B487" s="331"/>
      <c r="C487" s="33" t="s">
        <v>313</v>
      </c>
      <c r="D487" s="148">
        <f>0.72+2.57+2.48+1.52+0.7+0.16+0.95+1.05</f>
        <v>10.149999999999999</v>
      </c>
      <c r="E487" s="148"/>
      <c r="F487" s="148">
        <v>2.6</v>
      </c>
      <c r="G487" s="148">
        <v>7</v>
      </c>
      <c r="H487" s="148"/>
      <c r="I487" s="148">
        <f>1.2*1.2*7</f>
        <v>10.08</v>
      </c>
      <c r="J487" s="170">
        <f t="shared" si="22"/>
        <v>174.64999999999998</v>
      </c>
      <c r="K487" s="10"/>
      <c r="L487" s="10"/>
      <c r="M487" s="10"/>
      <c r="N487" s="10"/>
      <c r="O487" s="10"/>
      <c r="P487" s="10"/>
      <c r="Q487" s="10"/>
      <c r="R487" s="10"/>
      <c r="S487" s="10"/>
      <c r="T487" s="10"/>
      <c r="U487" s="10"/>
      <c r="V487" s="10"/>
      <c r="W487" s="10"/>
      <c r="X487" s="10"/>
      <c r="Y487" s="10"/>
    </row>
    <row r="488" spans="1:25" ht="16.5" customHeight="1" x14ac:dyDescent="0.2">
      <c r="A488" s="331" t="s">
        <v>769</v>
      </c>
      <c r="B488" s="331"/>
      <c r="C488" s="33" t="s">
        <v>312</v>
      </c>
      <c r="D488" s="148">
        <f>1.52+1.35+0.96+0.97+0.96+1.52+2.32</f>
        <v>9.6</v>
      </c>
      <c r="E488" s="148"/>
      <c r="F488" s="148">
        <v>2.6</v>
      </c>
      <c r="G488" s="148">
        <v>7</v>
      </c>
      <c r="H488" s="148"/>
      <c r="I488" s="148">
        <f>(0.7*2.1+1.2*0.6)*7</f>
        <v>15.33</v>
      </c>
      <c r="J488" s="170">
        <f t="shared" si="22"/>
        <v>159.38999999999999</v>
      </c>
      <c r="K488" s="10"/>
      <c r="L488" s="10"/>
      <c r="M488" s="10"/>
      <c r="N488" s="10"/>
      <c r="O488" s="10"/>
      <c r="P488" s="10"/>
      <c r="Q488" s="10"/>
      <c r="R488" s="10"/>
      <c r="S488" s="10"/>
      <c r="T488" s="10"/>
      <c r="U488" s="10"/>
      <c r="V488" s="10"/>
      <c r="W488" s="10"/>
      <c r="X488" s="10"/>
      <c r="Y488" s="10"/>
    </row>
    <row r="489" spans="1:25" ht="16.5" customHeight="1" x14ac:dyDescent="0.2">
      <c r="A489" s="331"/>
      <c r="B489" s="331"/>
      <c r="C489" s="33" t="s">
        <v>313</v>
      </c>
      <c r="D489" s="148">
        <f>0.72+2.57+2.48+1.52+0.7+0.16+0.95+1.05</f>
        <v>10.149999999999999</v>
      </c>
      <c r="E489" s="148"/>
      <c r="F489" s="148">
        <v>2.6</v>
      </c>
      <c r="G489" s="148">
        <v>7</v>
      </c>
      <c r="H489" s="148"/>
      <c r="I489" s="148">
        <f>1.2*1.2*7</f>
        <v>10.08</v>
      </c>
      <c r="J489" s="170">
        <f t="shared" si="22"/>
        <v>174.64999999999998</v>
      </c>
      <c r="K489" s="10"/>
      <c r="L489" s="10"/>
      <c r="M489" s="10"/>
      <c r="N489" s="10"/>
      <c r="O489" s="10"/>
      <c r="P489" s="10"/>
      <c r="Q489" s="10"/>
      <c r="R489" s="10"/>
      <c r="S489" s="10"/>
      <c r="T489" s="10"/>
      <c r="U489" s="10"/>
      <c r="V489" s="10"/>
      <c r="W489" s="10"/>
      <c r="X489" s="10"/>
      <c r="Y489" s="10"/>
    </row>
    <row r="490" spans="1:25" ht="16.5" customHeight="1" x14ac:dyDescent="0.2">
      <c r="A490" s="331" t="s">
        <v>681</v>
      </c>
      <c r="B490" s="331"/>
      <c r="C490" s="33" t="s">
        <v>312</v>
      </c>
      <c r="D490" s="148">
        <f>1.52+1.35+0.96+0.97+0.96+1.52+2.32</f>
        <v>9.6</v>
      </c>
      <c r="E490" s="148"/>
      <c r="F490" s="148">
        <v>2.6</v>
      </c>
      <c r="G490" s="148">
        <v>7</v>
      </c>
      <c r="H490" s="148"/>
      <c r="I490" s="148">
        <f>(0.7*2.1+1.2*0.6)*7</f>
        <v>15.33</v>
      </c>
      <c r="J490" s="170">
        <f t="shared" si="22"/>
        <v>159.38999999999999</v>
      </c>
      <c r="K490" s="10"/>
      <c r="L490" s="10"/>
      <c r="M490" s="10"/>
      <c r="N490" s="10"/>
      <c r="O490" s="10"/>
      <c r="P490" s="10"/>
      <c r="Q490" s="10"/>
      <c r="R490" s="10"/>
      <c r="S490" s="10"/>
      <c r="T490" s="10"/>
      <c r="U490" s="10"/>
      <c r="V490" s="10"/>
      <c r="W490" s="10"/>
      <c r="X490" s="10"/>
      <c r="Y490" s="10"/>
    </row>
    <row r="491" spans="1:25" ht="16.5" customHeight="1" x14ac:dyDescent="0.2">
      <c r="A491" s="331"/>
      <c r="B491" s="331"/>
      <c r="C491" s="33" t="s">
        <v>313</v>
      </c>
      <c r="D491" s="148">
        <f>0.72+2.57+2.48+1.52+0.7+0.16+0.95+1.05</f>
        <v>10.149999999999999</v>
      </c>
      <c r="E491" s="148"/>
      <c r="F491" s="148">
        <v>2.6</v>
      </c>
      <c r="G491" s="148">
        <v>7</v>
      </c>
      <c r="H491" s="148"/>
      <c r="I491" s="148">
        <f>1.2*1.2*7</f>
        <v>10.08</v>
      </c>
      <c r="J491" s="170">
        <f t="shared" si="22"/>
        <v>174.64999999999998</v>
      </c>
      <c r="K491" s="10"/>
      <c r="L491" s="10"/>
      <c r="M491" s="10"/>
      <c r="N491" s="10"/>
      <c r="O491" s="10"/>
      <c r="P491" s="10"/>
      <c r="Q491" s="10"/>
      <c r="R491" s="10"/>
      <c r="S491" s="10"/>
      <c r="T491" s="10"/>
      <c r="U491" s="10"/>
      <c r="V491" s="10"/>
      <c r="W491" s="10"/>
      <c r="X491" s="10"/>
      <c r="Y491" s="10"/>
    </row>
    <row r="492" spans="1:25" ht="16.5" customHeight="1" x14ac:dyDescent="0.2">
      <c r="A492" s="331" t="s">
        <v>682</v>
      </c>
      <c r="B492" s="331"/>
      <c r="C492" s="33" t="s">
        <v>312</v>
      </c>
      <c r="D492" s="148">
        <f>1.52+1.35+0.96+0.97+0.96+1.52+2.32</f>
        <v>9.6</v>
      </c>
      <c r="E492" s="148"/>
      <c r="F492" s="148">
        <v>2.6</v>
      </c>
      <c r="G492" s="148">
        <v>7</v>
      </c>
      <c r="H492" s="148"/>
      <c r="I492" s="148">
        <f>(0.7*2.1+1.2*0.6)*7</f>
        <v>15.33</v>
      </c>
      <c r="J492" s="170">
        <f t="shared" si="22"/>
        <v>159.38999999999999</v>
      </c>
      <c r="K492" s="10"/>
      <c r="L492" s="10"/>
      <c r="M492" s="10"/>
      <c r="N492" s="10"/>
      <c r="O492" s="10"/>
      <c r="P492" s="10"/>
      <c r="Q492" s="10"/>
      <c r="R492" s="10"/>
      <c r="S492" s="10"/>
      <c r="T492" s="10"/>
      <c r="U492" s="10"/>
      <c r="V492" s="10"/>
      <c r="W492" s="10"/>
      <c r="X492" s="10"/>
      <c r="Y492" s="10"/>
    </row>
    <row r="493" spans="1:25" ht="16.5" customHeight="1" x14ac:dyDescent="0.2">
      <c r="A493" s="331"/>
      <c r="B493" s="331"/>
      <c r="C493" s="33" t="s">
        <v>313</v>
      </c>
      <c r="D493" s="148">
        <f>0.72+2.57+2.48+1.52+0.7+0.16+0.95+1.05</f>
        <v>10.149999999999999</v>
      </c>
      <c r="E493" s="148"/>
      <c r="F493" s="148">
        <v>2.6</v>
      </c>
      <c r="G493" s="148">
        <v>7</v>
      </c>
      <c r="H493" s="148"/>
      <c r="I493" s="148">
        <f>1.2*1.2*7</f>
        <v>10.08</v>
      </c>
      <c r="J493" s="170">
        <f t="shared" si="22"/>
        <v>174.64999999999998</v>
      </c>
      <c r="K493" s="10"/>
      <c r="L493" s="10"/>
      <c r="M493" s="10"/>
      <c r="N493" s="10"/>
      <c r="O493" s="10"/>
      <c r="P493" s="10"/>
      <c r="Q493" s="10"/>
      <c r="R493" s="10"/>
      <c r="S493" s="10"/>
      <c r="T493" s="10"/>
      <c r="U493" s="10"/>
      <c r="V493" s="10"/>
      <c r="W493" s="10"/>
      <c r="X493" s="10"/>
      <c r="Y493" s="10"/>
    </row>
    <row r="494" spans="1:25" ht="16.5" customHeight="1" x14ac:dyDescent="0.2">
      <c r="A494" s="331" t="s">
        <v>683</v>
      </c>
      <c r="B494" s="331"/>
      <c r="C494" s="33" t="s">
        <v>312</v>
      </c>
      <c r="D494" s="148">
        <f>1.52+1.35+0.96+0.97+0.96+1.52+2.32</f>
        <v>9.6</v>
      </c>
      <c r="E494" s="148"/>
      <c r="F494" s="148">
        <v>2.6</v>
      </c>
      <c r="G494" s="148">
        <v>7</v>
      </c>
      <c r="H494" s="148"/>
      <c r="I494" s="148">
        <f>(0.7*2.1+1.2*0.6)*7</f>
        <v>15.33</v>
      </c>
      <c r="J494" s="170">
        <f t="shared" si="22"/>
        <v>159.38999999999999</v>
      </c>
      <c r="K494" s="10"/>
      <c r="L494" s="10"/>
      <c r="M494" s="10"/>
      <c r="N494" s="10"/>
      <c r="O494" s="10"/>
      <c r="P494" s="10"/>
      <c r="Q494" s="10"/>
      <c r="R494" s="10"/>
      <c r="S494" s="10"/>
      <c r="T494" s="10"/>
      <c r="U494" s="10"/>
      <c r="V494" s="10"/>
      <c r="W494" s="10"/>
      <c r="X494" s="10"/>
      <c r="Y494" s="10"/>
    </row>
    <row r="495" spans="1:25" ht="16.5" customHeight="1" x14ac:dyDescent="0.2">
      <c r="A495" s="331"/>
      <c r="B495" s="331"/>
      <c r="C495" s="33" t="s">
        <v>313</v>
      </c>
      <c r="D495" s="148">
        <f>0.72+2.57+2.48+1.52+0.7+0.16+0.95+1.05</f>
        <v>10.149999999999999</v>
      </c>
      <c r="E495" s="148"/>
      <c r="F495" s="148">
        <v>2.6</v>
      </c>
      <c r="G495" s="148">
        <v>7</v>
      </c>
      <c r="H495" s="148"/>
      <c r="I495" s="148">
        <f>1.2*1.2*7</f>
        <v>10.08</v>
      </c>
      <c r="J495" s="170">
        <f t="shared" si="22"/>
        <v>174.64999999999998</v>
      </c>
      <c r="K495" s="10"/>
      <c r="L495" s="10"/>
      <c r="M495" s="10"/>
      <c r="N495" s="10"/>
      <c r="O495" s="10"/>
      <c r="P495" s="10"/>
      <c r="Q495" s="10"/>
      <c r="R495" s="10"/>
      <c r="S495" s="10"/>
      <c r="T495" s="10"/>
      <c r="U495" s="10"/>
      <c r="V495" s="10"/>
      <c r="W495" s="10"/>
      <c r="X495" s="10"/>
      <c r="Y495" s="10"/>
    </row>
    <row r="496" spans="1:25" ht="16.5" customHeight="1" x14ac:dyDescent="0.2">
      <c r="A496" s="331" t="s">
        <v>684</v>
      </c>
      <c r="B496" s="331"/>
      <c r="C496" s="33" t="s">
        <v>312</v>
      </c>
      <c r="D496" s="148">
        <f>1.52+1.35+0.96+0.97+0.96+1.52+2.32</f>
        <v>9.6</v>
      </c>
      <c r="E496" s="148"/>
      <c r="F496" s="148">
        <v>2.6</v>
      </c>
      <c r="G496" s="148">
        <v>7</v>
      </c>
      <c r="H496" s="148"/>
      <c r="I496" s="148">
        <f>(0.7*2.1+1.2*0.6)*7</f>
        <v>15.33</v>
      </c>
      <c r="J496" s="170">
        <f t="shared" si="22"/>
        <v>159.38999999999999</v>
      </c>
      <c r="K496" s="10"/>
      <c r="L496" s="10"/>
      <c r="M496" s="10"/>
      <c r="N496" s="10"/>
      <c r="O496" s="10"/>
      <c r="P496" s="10"/>
      <c r="Q496" s="10"/>
      <c r="R496" s="10"/>
      <c r="S496" s="10"/>
      <c r="T496" s="10"/>
      <c r="U496" s="10"/>
      <c r="V496" s="10"/>
      <c r="W496" s="10"/>
      <c r="X496" s="10"/>
      <c r="Y496" s="10"/>
    </row>
    <row r="497" spans="1:25" ht="16.5" customHeight="1" x14ac:dyDescent="0.2">
      <c r="A497" s="331"/>
      <c r="B497" s="331"/>
      <c r="C497" s="33" t="s">
        <v>313</v>
      </c>
      <c r="D497" s="148">
        <f>0.72+2.57+2.48+1.52+0.7+0.16+0.95+1.05</f>
        <v>10.149999999999999</v>
      </c>
      <c r="E497" s="148"/>
      <c r="F497" s="148">
        <v>2.6</v>
      </c>
      <c r="G497" s="148">
        <v>7</v>
      </c>
      <c r="H497" s="148"/>
      <c r="I497" s="148">
        <f>1.2*1.2*7</f>
        <v>10.08</v>
      </c>
      <c r="J497" s="170">
        <f t="shared" si="22"/>
        <v>174.64999999999998</v>
      </c>
      <c r="K497" s="10"/>
      <c r="L497" s="10"/>
      <c r="M497" s="10"/>
      <c r="N497" s="10"/>
      <c r="O497" s="10"/>
      <c r="P497" s="10"/>
      <c r="Q497" s="10"/>
      <c r="R497" s="10"/>
      <c r="S497" s="10"/>
      <c r="T497" s="10"/>
      <c r="U497" s="10"/>
      <c r="V497" s="10"/>
      <c r="W497" s="10"/>
      <c r="X497" s="10"/>
      <c r="Y497" s="10"/>
    </row>
    <row r="498" spans="1:25" ht="16.5" customHeight="1" x14ac:dyDescent="0.2">
      <c r="A498" s="331" t="s">
        <v>685</v>
      </c>
      <c r="B498" s="331"/>
      <c r="C498" s="33" t="s">
        <v>312</v>
      </c>
      <c r="D498" s="148">
        <f>1.52+1.35+0.96+0.97+0.96+1.52+2.32</f>
        <v>9.6</v>
      </c>
      <c r="E498" s="148"/>
      <c r="F498" s="148">
        <v>2.6</v>
      </c>
      <c r="G498" s="148">
        <v>7</v>
      </c>
      <c r="H498" s="148"/>
      <c r="I498" s="148">
        <f>(0.7*2.1+1.2*0.6)*7</f>
        <v>15.33</v>
      </c>
      <c r="J498" s="170">
        <f t="shared" si="22"/>
        <v>159.38999999999999</v>
      </c>
      <c r="K498" s="10"/>
      <c r="L498" s="10"/>
      <c r="M498" s="10"/>
      <c r="N498" s="10"/>
      <c r="O498" s="10"/>
      <c r="P498" s="10"/>
      <c r="Q498" s="10"/>
      <c r="R498" s="10"/>
      <c r="S498" s="10"/>
      <c r="T498" s="10"/>
      <c r="U498" s="10"/>
      <c r="V498" s="10"/>
      <c r="W498" s="10"/>
      <c r="X498" s="10"/>
      <c r="Y498" s="10"/>
    </row>
    <row r="499" spans="1:25" ht="16.5" customHeight="1" x14ac:dyDescent="0.2">
      <c r="A499" s="331"/>
      <c r="B499" s="331"/>
      <c r="C499" s="33" t="s">
        <v>313</v>
      </c>
      <c r="D499" s="148">
        <f>0.72+2.57+2.48+1.52+0.7+0.16+0.95+1.05</f>
        <v>10.149999999999999</v>
      </c>
      <c r="E499" s="148"/>
      <c r="F499" s="148">
        <v>2.6</v>
      </c>
      <c r="G499" s="148">
        <v>7</v>
      </c>
      <c r="H499" s="148"/>
      <c r="I499" s="148">
        <f>1.2*1.2*7</f>
        <v>10.08</v>
      </c>
      <c r="J499" s="170">
        <f t="shared" si="22"/>
        <v>174.64999999999998</v>
      </c>
      <c r="K499" s="10"/>
      <c r="L499" s="10"/>
      <c r="M499" s="10"/>
      <c r="N499" s="10"/>
      <c r="O499" s="10"/>
      <c r="P499" s="10"/>
      <c r="Q499" s="10"/>
      <c r="R499" s="10"/>
      <c r="S499" s="10"/>
      <c r="T499" s="10"/>
      <c r="U499" s="10"/>
      <c r="V499" s="10"/>
      <c r="W499" s="10"/>
      <c r="X499" s="10"/>
      <c r="Y499" s="10"/>
    </row>
    <row r="500" spans="1:25" ht="16.5" customHeight="1" x14ac:dyDescent="0.2">
      <c r="A500" s="331" t="s">
        <v>687</v>
      </c>
      <c r="B500" s="331"/>
      <c r="C500" s="33" t="s">
        <v>312</v>
      </c>
      <c r="D500" s="148">
        <f>1.52+1.35+0.96+0.97+0.96+1.52+2.32</f>
        <v>9.6</v>
      </c>
      <c r="E500" s="148"/>
      <c r="F500" s="148">
        <v>2.6</v>
      </c>
      <c r="G500" s="148">
        <v>7</v>
      </c>
      <c r="H500" s="148"/>
      <c r="I500" s="148">
        <f>(0.7*2.1+1.2*0.6)*7</f>
        <v>15.33</v>
      </c>
      <c r="J500" s="170">
        <f t="shared" si="22"/>
        <v>159.38999999999999</v>
      </c>
      <c r="K500" s="10"/>
      <c r="L500" s="10"/>
      <c r="M500" s="10"/>
      <c r="N500" s="10"/>
      <c r="O500" s="10"/>
      <c r="P500" s="10"/>
      <c r="Q500" s="10"/>
      <c r="R500" s="10"/>
      <c r="S500" s="10"/>
      <c r="T500" s="10"/>
      <c r="U500" s="10"/>
      <c r="V500" s="10"/>
      <c r="W500" s="10"/>
      <c r="X500" s="10"/>
      <c r="Y500" s="10"/>
    </row>
    <row r="501" spans="1:25" ht="16.5" customHeight="1" x14ac:dyDescent="0.2">
      <c r="A501" s="331"/>
      <c r="B501" s="331"/>
      <c r="C501" s="33" t="s">
        <v>313</v>
      </c>
      <c r="D501" s="148">
        <f>0.72+2.57+2.48+1.52+0.7+0.16+0.95+1.05</f>
        <v>10.149999999999999</v>
      </c>
      <c r="E501" s="148"/>
      <c r="F501" s="148">
        <v>2.6</v>
      </c>
      <c r="G501" s="148">
        <v>7</v>
      </c>
      <c r="H501" s="148"/>
      <c r="I501" s="148">
        <f>1.2*1.2*7</f>
        <v>10.08</v>
      </c>
      <c r="J501" s="170">
        <f t="shared" si="22"/>
        <v>174.64999999999998</v>
      </c>
      <c r="K501" s="10"/>
      <c r="L501" s="10"/>
      <c r="M501" s="10"/>
      <c r="N501" s="10"/>
      <c r="O501" s="10"/>
      <c r="P501" s="10"/>
      <c r="Q501" s="10"/>
      <c r="R501" s="10"/>
      <c r="S501" s="10"/>
      <c r="T501" s="10"/>
      <c r="U501" s="10"/>
      <c r="V501" s="10"/>
      <c r="W501" s="10"/>
      <c r="X501" s="10"/>
      <c r="Y501" s="10"/>
    </row>
    <row r="502" spans="1:25" ht="16.5" customHeight="1" x14ac:dyDescent="0.2">
      <c r="A502" s="342" t="str">
        <f>"TOTAL - "&amp;'Planilha orçamentária'!F52</f>
        <v>TOTAL - M2</v>
      </c>
      <c r="B502" s="342"/>
      <c r="C502" s="342"/>
      <c r="D502" s="342"/>
      <c r="E502" s="342"/>
      <c r="F502" s="342"/>
      <c r="G502" s="342"/>
      <c r="H502" s="342"/>
      <c r="I502" s="342"/>
      <c r="J502" s="149">
        <f>SUM(J470:J501)</f>
        <v>5343.1699999999992</v>
      </c>
      <c r="K502" s="10"/>
      <c r="L502" s="10"/>
      <c r="M502" s="10"/>
      <c r="N502" s="10"/>
      <c r="O502" s="10"/>
      <c r="P502" s="10"/>
      <c r="Q502" s="10"/>
      <c r="R502" s="10"/>
      <c r="S502" s="10"/>
      <c r="T502" s="10"/>
      <c r="U502" s="10"/>
      <c r="V502" s="10"/>
      <c r="W502" s="10"/>
      <c r="X502" s="10"/>
      <c r="Y502" s="10"/>
    </row>
    <row r="503" spans="1:25" ht="16.5" customHeight="1" x14ac:dyDescent="0.2">
      <c r="A503" s="184" t="str">
        <f>'Planilha orçamentária'!A53</f>
        <v>8.6</v>
      </c>
      <c r="B503" s="343" t="str">
        <f>'Planilha orçamentária'!D53</f>
        <v>Soleira de granito cinza andorinha e = 2 cm</v>
      </c>
      <c r="C503" s="344"/>
      <c r="D503" s="344"/>
      <c r="E503" s="344"/>
      <c r="F503" s="344"/>
      <c r="G503" s="344"/>
      <c r="H503" s="344"/>
      <c r="I503" s="344"/>
      <c r="J503" s="344"/>
      <c r="K503" s="10"/>
      <c r="L503" s="10"/>
      <c r="M503" s="10"/>
      <c r="N503" s="10"/>
      <c r="O503" s="10"/>
      <c r="P503" s="10"/>
      <c r="Q503" s="10"/>
      <c r="R503" s="10"/>
      <c r="S503" s="10"/>
      <c r="T503" s="10"/>
      <c r="U503" s="10"/>
      <c r="V503" s="10"/>
      <c r="W503" s="10"/>
      <c r="X503" s="10"/>
      <c r="Y503" s="10"/>
    </row>
    <row r="504" spans="1:25" ht="25.5" customHeight="1" x14ac:dyDescent="0.2">
      <c r="A504" s="327" t="s">
        <v>120</v>
      </c>
      <c r="B504" s="328"/>
      <c r="C504" s="328"/>
      <c r="D504" s="182" t="s">
        <v>121</v>
      </c>
      <c r="E504" s="182" t="s">
        <v>122</v>
      </c>
      <c r="F504" s="181" t="s">
        <v>489</v>
      </c>
      <c r="G504" s="181" t="s">
        <v>468</v>
      </c>
      <c r="H504" s="181" t="s">
        <v>125</v>
      </c>
      <c r="I504" s="182" t="s">
        <v>126</v>
      </c>
      <c r="J504" s="182" t="s">
        <v>113</v>
      </c>
      <c r="K504" s="10"/>
      <c r="L504" s="10"/>
      <c r="M504" s="10"/>
      <c r="N504" s="10"/>
      <c r="O504" s="10"/>
      <c r="P504" s="10"/>
      <c r="Q504" s="10"/>
      <c r="R504" s="10"/>
      <c r="S504" s="10"/>
      <c r="T504" s="10"/>
      <c r="U504" s="10"/>
      <c r="V504" s="10"/>
      <c r="W504" s="10"/>
      <c r="X504" s="10"/>
      <c r="Y504" s="10"/>
    </row>
    <row r="505" spans="1:25" ht="16.5" customHeight="1" x14ac:dyDescent="0.2">
      <c r="A505" s="321" t="s">
        <v>671</v>
      </c>
      <c r="B505" s="322"/>
      <c r="C505" s="323"/>
      <c r="D505" s="148">
        <v>0.7</v>
      </c>
      <c r="E505" s="148">
        <v>0.15</v>
      </c>
      <c r="F505" s="148">
        <v>7</v>
      </c>
      <c r="G505" s="148">
        <v>3</v>
      </c>
      <c r="H505" s="148"/>
      <c r="I505" s="148"/>
      <c r="J505" s="170">
        <f>PRODUCT(D505:H505)-I505</f>
        <v>2.2050000000000001</v>
      </c>
      <c r="K505" s="10"/>
      <c r="L505" s="10"/>
      <c r="M505" s="10"/>
      <c r="N505" s="10"/>
      <c r="O505" s="10"/>
      <c r="P505" s="10"/>
      <c r="Q505" s="10"/>
      <c r="R505" s="10"/>
      <c r="S505" s="10"/>
      <c r="T505" s="10"/>
      <c r="U505" s="10"/>
      <c r="V505" s="10"/>
      <c r="W505" s="10"/>
      <c r="X505" s="10"/>
      <c r="Y505" s="10"/>
    </row>
    <row r="506" spans="1:25" ht="16.5" customHeight="1" x14ac:dyDescent="0.2">
      <c r="A506" s="324"/>
      <c r="B506" s="325"/>
      <c r="C506" s="326"/>
      <c r="D506" s="148">
        <v>0.8</v>
      </c>
      <c r="E506" s="148">
        <v>0.15</v>
      </c>
      <c r="F506" s="148">
        <v>7</v>
      </c>
      <c r="G506" s="148">
        <v>1</v>
      </c>
      <c r="H506" s="148"/>
      <c r="I506" s="148"/>
      <c r="J506" s="170">
        <f t="shared" ref="J506:J536" si="23">PRODUCT(D506:H506)-I506</f>
        <v>0.84</v>
      </c>
      <c r="K506" s="10"/>
      <c r="L506" s="10"/>
      <c r="M506" s="10"/>
      <c r="N506" s="10"/>
      <c r="O506" s="10"/>
      <c r="P506" s="10"/>
      <c r="Q506" s="10"/>
      <c r="R506" s="10"/>
      <c r="S506" s="10"/>
      <c r="T506" s="10"/>
      <c r="U506" s="10"/>
      <c r="V506" s="10"/>
      <c r="W506" s="10"/>
      <c r="X506" s="10"/>
      <c r="Y506" s="10"/>
    </row>
    <row r="507" spans="1:25" ht="16.5" customHeight="1" x14ac:dyDescent="0.2">
      <c r="A507" s="321" t="s">
        <v>672</v>
      </c>
      <c r="B507" s="322"/>
      <c r="C507" s="323"/>
      <c r="D507" s="148">
        <v>0.7</v>
      </c>
      <c r="E507" s="148">
        <v>0.15</v>
      </c>
      <c r="F507" s="148">
        <v>7</v>
      </c>
      <c r="G507" s="148">
        <v>3</v>
      </c>
      <c r="H507" s="148"/>
      <c r="I507" s="148"/>
      <c r="J507" s="170">
        <f t="shared" si="23"/>
        <v>2.2050000000000001</v>
      </c>
      <c r="K507" s="10"/>
      <c r="L507" s="10"/>
      <c r="M507" s="10"/>
      <c r="N507" s="10"/>
      <c r="O507" s="10"/>
      <c r="P507" s="10"/>
      <c r="Q507" s="10"/>
      <c r="R507" s="10"/>
      <c r="S507" s="10"/>
      <c r="T507" s="10"/>
      <c r="U507" s="10"/>
      <c r="V507" s="10"/>
      <c r="W507" s="10"/>
      <c r="X507" s="10"/>
      <c r="Y507" s="10"/>
    </row>
    <row r="508" spans="1:25" ht="16.5" customHeight="1" x14ac:dyDescent="0.2">
      <c r="A508" s="324"/>
      <c r="B508" s="325"/>
      <c r="C508" s="326"/>
      <c r="D508" s="148">
        <v>0.8</v>
      </c>
      <c r="E508" s="148">
        <v>0.15</v>
      </c>
      <c r="F508" s="148">
        <v>7</v>
      </c>
      <c r="G508" s="148">
        <v>1</v>
      </c>
      <c r="H508" s="148"/>
      <c r="I508" s="148"/>
      <c r="J508" s="170">
        <f t="shared" si="23"/>
        <v>0.84</v>
      </c>
      <c r="K508" s="10"/>
      <c r="L508" s="10"/>
      <c r="M508" s="10"/>
      <c r="N508" s="10"/>
      <c r="O508" s="10"/>
      <c r="P508" s="10"/>
      <c r="Q508" s="10"/>
      <c r="R508" s="10"/>
      <c r="S508" s="10"/>
      <c r="T508" s="10"/>
      <c r="U508" s="10"/>
      <c r="V508" s="10"/>
      <c r="W508" s="10"/>
      <c r="X508" s="10"/>
      <c r="Y508" s="10"/>
    </row>
    <row r="509" spans="1:25" s="31" customFormat="1" ht="16.5" customHeight="1" x14ac:dyDescent="0.2">
      <c r="A509" s="418" t="s">
        <v>673</v>
      </c>
      <c r="B509" s="418"/>
      <c r="C509" s="418"/>
      <c r="D509" s="148">
        <v>0.8</v>
      </c>
      <c r="E509" s="148">
        <v>0.15</v>
      </c>
      <c r="F509" s="148">
        <v>7</v>
      </c>
      <c r="G509" s="148">
        <v>4</v>
      </c>
      <c r="H509" s="170"/>
      <c r="I509" s="126"/>
      <c r="J509" s="170">
        <f t="shared" si="23"/>
        <v>3.36</v>
      </c>
      <c r="K509" s="150"/>
      <c r="L509" s="150"/>
      <c r="M509" s="150"/>
      <c r="N509" s="150"/>
      <c r="O509" s="150"/>
      <c r="P509" s="150"/>
      <c r="Q509" s="150"/>
      <c r="R509" s="150"/>
      <c r="S509" s="150"/>
      <c r="T509" s="150"/>
      <c r="U509" s="150"/>
      <c r="V509" s="150"/>
      <c r="W509" s="150"/>
      <c r="X509" s="150"/>
      <c r="Y509" s="150"/>
    </row>
    <row r="510" spans="1:25" ht="16.5" customHeight="1" x14ac:dyDescent="0.2">
      <c r="A510" s="321" t="s">
        <v>674</v>
      </c>
      <c r="B510" s="322"/>
      <c r="C510" s="323"/>
      <c r="D510" s="148">
        <v>0.7</v>
      </c>
      <c r="E510" s="148">
        <v>0.15</v>
      </c>
      <c r="F510" s="148">
        <v>7</v>
      </c>
      <c r="G510" s="148">
        <v>3</v>
      </c>
      <c r="H510" s="148"/>
      <c r="I510" s="148"/>
      <c r="J510" s="170">
        <f t="shared" si="23"/>
        <v>2.2050000000000001</v>
      </c>
      <c r="K510" s="10"/>
      <c r="L510" s="10"/>
      <c r="M510" s="10"/>
      <c r="N510" s="10"/>
      <c r="O510" s="10"/>
      <c r="P510" s="10"/>
      <c r="Q510" s="10"/>
      <c r="R510" s="10"/>
      <c r="S510" s="10"/>
      <c r="T510" s="10"/>
      <c r="U510" s="10"/>
      <c r="V510" s="10"/>
      <c r="W510" s="10"/>
      <c r="X510" s="10"/>
      <c r="Y510" s="10"/>
    </row>
    <row r="511" spans="1:25" ht="16.5" customHeight="1" x14ac:dyDescent="0.2">
      <c r="A511" s="324"/>
      <c r="B511" s="325"/>
      <c r="C511" s="326"/>
      <c r="D511" s="148">
        <v>0.8</v>
      </c>
      <c r="E511" s="148">
        <v>0.15</v>
      </c>
      <c r="F511" s="148">
        <v>7</v>
      </c>
      <c r="G511" s="148">
        <v>1</v>
      </c>
      <c r="H511" s="148"/>
      <c r="I511" s="148"/>
      <c r="J511" s="170">
        <f t="shared" si="23"/>
        <v>0.84</v>
      </c>
      <c r="K511" s="10"/>
      <c r="L511" s="10"/>
      <c r="M511" s="10"/>
      <c r="N511" s="10"/>
      <c r="O511" s="10"/>
      <c r="P511" s="10"/>
      <c r="Q511" s="10"/>
      <c r="R511" s="10"/>
      <c r="S511" s="10"/>
      <c r="T511" s="10"/>
      <c r="U511" s="10"/>
      <c r="V511" s="10"/>
      <c r="W511" s="10"/>
      <c r="X511" s="10"/>
      <c r="Y511" s="10"/>
    </row>
    <row r="512" spans="1:25" ht="16.5" customHeight="1" x14ac:dyDescent="0.2">
      <c r="A512" s="321" t="s">
        <v>675</v>
      </c>
      <c r="B512" s="322"/>
      <c r="C512" s="323"/>
      <c r="D512" s="148">
        <v>0.7</v>
      </c>
      <c r="E512" s="148">
        <v>0.15</v>
      </c>
      <c r="F512" s="148">
        <v>7</v>
      </c>
      <c r="G512" s="148">
        <v>3</v>
      </c>
      <c r="H512" s="148"/>
      <c r="I512" s="148"/>
      <c r="J512" s="170">
        <f t="shared" si="23"/>
        <v>2.2050000000000001</v>
      </c>
      <c r="K512" s="10"/>
      <c r="L512" s="10"/>
      <c r="M512" s="10"/>
      <c r="N512" s="10"/>
      <c r="O512" s="10"/>
      <c r="P512" s="10"/>
      <c r="Q512" s="10"/>
      <c r="R512" s="10"/>
      <c r="S512" s="10"/>
      <c r="T512" s="10"/>
      <c r="U512" s="10"/>
      <c r="V512" s="10"/>
      <c r="W512" s="10"/>
      <c r="X512" s="10"/>
      <c r="Y512" s="10"/>
    </row>
    <row r="513" spans="1:25" ht="16.5" customHeight="1" x14ac:dyDescent="0.2">
      <c r="A513" s="324"/>
      <c r="B513" s="325"/>
      <c r="C513" s="326"/>
      <c r="D513" s="148">
        <v>0.8</v>
      </c>
      <c r="E513" s="148">
        <v>0.15</v>
      </c>
      <c r="F513" s="148">
        <v>7</v>
      </c>
      <c r="G513" s="148">
        <v>1</v>
      </c>
      <c r="H513" s="148"/>
      <c r="I513" s="148"/>
      <c r="J513" s="170">
        <f t="shared" si="23"/>
        <v>0.84</v>
      </c>
      <c r="K513" s="10"/>
      <c r="L513" s="10"/>
      <c r="M513" s="10"/>
      <c r="N513" s="10"/>
      <c r="O513" s="10"/>
      <c r="P513" s="10"/>
      <c r="Q513" s="10"/>
      <c r="R513" s="10"/>
      <c r="S513" s="10"/>
      <c r="T513" s="10"/>
      <c r="U513" s="10"/>
      <c r="V513" s="10"/>
      <c r="W513" s="10"/>
      <c r="X513" s="10"/>
      <c r="Y513" s="10"/>
    </row>
    <row r="514" spans="1:25" ht="16.5" customHeight="1" x14ac:dyDescent="0.2">
      <c r="A514" s="321" t="s">
        <v>676</v>
      </c>
      <c r="B514" s="322"/>
      <c r="C514" s="323"/>
      <c r="D514" s="148">
        <v>0.7</v>
      </c>
      <c r="E514" s="148">
        <v>0.15</v>
      </c>
      <c r="F514" s="148">
        <v>7</v>
      </c>
      <c r="G514" s="148">
        <v>3</v>
      </c>
      <c r="H514" s="148"/>
      <c r="I514" s="148"/>
      <c r="J514" s="170">
        <f t="shared" si="23"/>
        <v>2.2050000000000001</v>
      </c>
      <c r="K514" s="10"/>
      <c r="L514" s="10"/>
      <c r="M514" s="10"/>
      <c r="N514" s="10"/>
      <c r="O514" s="10"/>
      <c r="P514" s="10"/>
      <c r="Q514" s="10"/>
      <c r="R514" s="10"/>
      <c r="S514" s="10"/>
      <c r="T514" s="10"/>
      <c r="U514" s="10"/>
      <c r="V514" s="10"/>
      <c r="W514" s="10"/>
      <c r="X514" s="10"/>
      <c r="Y514" s="10"/>
    </row>
    <row r="515" spans="1:25" ht="16.5" customHeight="1" x14ac:dyDescent="0.2">
      <c r="A515" s="324"/>
      <c r="B515" s="325"/>
      <c r="C515" s="326"/>
      <c r="D515" s="148">
        <v>0.8</v>
      </c>
      <c r="E515" s="148">
        <v>0.15</v>
      </c>
      <c r="F515" s="148">
        <v>7</v>
      </c>
      <c r="G515" s="148">
        <v>1</v>
      </c>
      <c r="H515" s="148"/>
      <c r="I515" s="148"/>
      <c r="J515" s="170">
        <f t="shared" si="23"/>
        <v>0.84</v>
      </c>
      <c r="K515" s="10"/>
      <c r="L515" s="10"/>
      <c r="M515" s="10"/>
      <c r="N515" s="10"/>
      <c r="O515" s="10"/>
      <c r="P515" s="10"/>
      <c r="Q515" s="10"/>
      <c r="R515" s="10"/>
      <c r="S515" s="10"/>
      <c r="T515" s="10"/>
      <c r="U515" s="10"/>
      <c r="V515" s="10"/>
      <c r="W515" s="10"/>
      <c r="X515" s="10"/>
      <c r="Y515" s="10"/>
    </row>
    <row r="516" spans="1:25" ht="16.5" customHeight="1" x14ac:dyDescent="0.2">
      <c r="A516" s="321" t="s">
        <v>677</v>
      </c>
      <c r="B516" s="322"/>
      <c r="C516" s="323"/>
      <c r="D516" s="148">
        <v>0.7</v>
      </c>
      <c r="E516" s="148">
        <v>0.15</v>
      </c>
      <c r="F516" s="148">
        <v>7</v>
      </c>
      <c r="G516" s="148">
        <v>3</v>
      </c>
      <c r="H516" s="148"/>
      <c r="I516" s="148"/>
      <c r="J516" s="170">
        <f t="shared" si="23"/>
        <v>2.2050000000000001</v>
      </c>
      <c r="K516" s="10"/>
      <c r="L516" s="10"/>
      <c r="M516" s="10"/>
      <c r="N516" s="10"/>
      <c r="O516" s="10"/>
      <c r="P516" s="10"/>
      <c r="Q516" s="10"/>
      <c r="R516" s="10"/>
      <c r="S516" s="10"/>
      <c r="T516" s="10"/>
      <c r="U516" s="10"/>
      <c r="V516" s="10"/>
      <c r="W516" s="10"/>
      <c r="X516" s="10"/>
      <c r="Y516" s="10"/>
    </row>
    <row r="517" spans="1:25" ht="16.5" customHeight="1" x14ac:dyDescent="0.2">
      <c r="A517" s="324"/>
      <c r="B517" s="325"/>
      <c r="C517" s="326"/>
      <c r="D517" s="148">
        <v>0.8</v>
      </c>
      <c r="E517" s="148">
        <v>0.15</v>
      </c>
      <c r="F517" s="148">
        <v>7</v>
      </c>
      <c r="G517" s="148">
        <v>1</v>
      </c>
      <c r="H517" s="148"/>
      <c r="I517" s="148"/>
      <c r="J517" s="170">
        <f t="shared" si="23"/>
        <v>0.84</v>
      </c>
      <c r="K517" s="10"/>
      <c r="L517" s="10"/>
      <c r="M517" s="10"/>
      <c r="N517" s="10"/>
      <c r="O517" s="10"/>
      <c r="P517" s="10"/>
      <c r="Q517" s="10"/>
      <c r="R517" s="10"/>
      <c r="S517" s="10"/>
      <c r="T517" s="10"/>
      <c r="U517" s="10"/>
      <c r="V517" s="10"/>
      <c r="W517" s="10"/>
      <c r="X517" s="10"/>
      <c r="Y517" s="10"/>
    </row>
    <row r="518" spans="1:25" ht="16.5" customHeight="1" x14ac:dyDescent="0.2">
      <c r="A518" s="321" t="s">
        <v>678</v>
      </c>
      <c r="B518" s="322"/>
      <c r="C518" s="323"/>
      <c r="D518" s="148">
        <v>0.7</v>
      </c>
      <c r="E518" s="148">
        <v>0.15</v>
      </c>
      <c r="F518" s="148">
        <v>7</v>
      </c>
      <c r="G518" s="148">
        <v>3</v>
      </c>
      <c r="H518" s="148"/>
      <c r="I518" s="148"/>
      <c r="J518" s="170">
        <f t="shared" si="23"/>
        <v>2.2050000000000001</v>
      </c>
      <c r="K518" s="10"/>
      <c r="L518" s="10"/>
      <c r="M518" s="10"/>
      <c r="N518" s="10"/>
      <c r="O518" s="10"/>
      <c r="P518" s="10"/>
      <c r="Q518" s="10"/>
      <c r="R518" s="10"/>
      <c r="S518" s="10"/>
      <c r="T518" s="10"/>
      <c r="U518" s="10"/>
      <c r="V518" s="10"/>
      <c r="W518" s="10"/>
      <c r="X518" s="10"/>
      <c r="Y518" s="10"/>
    </row>
    <row r="519" spans="1:25" ht="16.5" customHeight="1" x14ac:dyDescent="0.2">
      <c r="A519" s="324"/>
      <c r="B519" s="325"/>
      <c r="C519" s="326"/>
      <c r="D519" s="148">
        <v>0.8</v>
      </c>
      <c r="E519" s="148">
        <v>0.15</v>
      </c>
      <c r="F519" s="148">
        <v>7</v>
      </c>
      <c r="G519" s="148">
        <v>1</v>
      </c>
      <c r="H519" s="148"/>
      <c r="I519" s="148"/>
      <c r="J519" s="170">
        <f t="shared" si="23"/>
        <v>0.84</v>
      </c>
      <c r="K519" s="10"/>
      <c r="L519" s="10"/>
      <c r="M519" s="10"/>
      <c r="N519" s="10"/>
      <c r="O519" s="10"/>
      <c r="P519" s="10"/>
      <c r="Q519" s="10"/>
      <c r="R519" s="10"/>
      <c r="S519" s="10"/>
      <c r="T519" s="10"/>
      <c r="U519" s="10"/>
      <c r="V519" s="10"/>
      <c r="W519" s="10"/>
      <c r="X519" s="10"/>
      <c r="Y519" s="10"/>
    </row>
    <row r="520" spans="1:25" ht="16.5" customHeight="1" x14ac:dyDescent="0.2">
      <c r="A520" s="321" t="s">
        <v>679</v>
      </c>
      <c r="B520" s="322"/>
      <c r="C520" s="323"/>
      <c r="D520" s="148">
        <v>0.7</v>
      </c>
      <c r="E520" s="148">
        <v>0.15</v>
      </c>
      <c r="F520" s="148">
        <v>7</v>
      </c>
      <c r="G520" s="148">
        <v>3</v>
      </c>
      <c r="H520" s="148"/>
      <c r="I520" s="148"/>
      <c r="J520" s="170">
        <f t="shared" si="23"/>
        <v>2.2050000000000001</v>
      </c>
      <c r="K520" s="10"/>
      <c r="L520" s="10"/>
      <c r="M520" s="10"/>
      <c r="N520" s="10"/>
      <c r="O520" s="10"/>
      <c r="P520" s="10"/>
      <c r="Q520" s="10"/>
      <c r="R520" s="10"/>
      <c r="S520" s="10"/>
      <c r="T520" s="10"/>
      <c r="U520" s="10"/>
      <c r="V520" s="10"/>
      <c r="W520" s="10"/>
      <c r="X520" s="10"/>
      <c r="Y520" s="10"/>
    </row>
    <row r="521" spans="1:25" ht="16.5" customHeight="1" x14ac:dyDescent="0.2">
      <c r="A521" s="324"/>
      <c r="B521" s="325"/>
      <c r="C521" s="326"/>
      <c r="D521" s="148">
        <v>0.8</v>
      </c>
      <c r="E521" s="148">
        <v>0.15</v>
      </c>
      <c r="F521" s="148">
        <v>7</v>
      </c>
      <c r="G521" s="148">
        <v>1</v>
      </c>
      <c r="H521" s="148"/>
      <c r="I521" s="148"/>
      <c r="J521" s="170">
        <f t="shared" si="23"/>
        <v>0.84</v>
      </c>
      <c r="K521" s="10"/>
      <c r="L521" s="10"/>
      <c r="M521" s="10"/>
      <c r="N521" s="10"/>
      <c r="O521" s="10"/>
      <c r="P521" s="10"/>
      <c r="Q521" s="10"/>
      <c r="R521" s="10"/>
      <c r="S521" s="10"/>
      <c r="T521" s="10"/>
      <c r="U521" s="10"/>
      <c r="V521" s="10"/>
      <c r="W521" s="10"/>
      <c r="X521" s="10"/>
      <c r="Y521" s="10"/>
    </row>
    <row r="522" spans="1:25" ht="16.5" customHeight="1" x14ac:dyDescent="0.2">
      <c r="A522" s="321" t="s">
        <v>769</v>
      </c>
      <c r="B522" s="322"/>
      <c r="C522" s="323"/>
      <c r="D522" s="148">
        <v>0.7</v>
      </c>
      <c r="E522" s="148">
        <v>0.15</v>
      </c>
      <c r="F522" s="148">
        <v>7</v>
      </c>
      <c r="G522" s="148">
        <v>3</v>
      </c>
      <c r="H522" s="148"/>
      <c r="I522" s="148"/>
      <c r="J522" s="170">
        <f t="shared" si="23"/>
        <v>2.2050000000000001</v>
      </c>
      <c r="K522" s="10"/>
      <c r="L522" s="10"/>
      <c r="M522" s="10"/>
      <c r="N522" s="10"/>
      <c r="O522" s="10"/>
      <c r="P522" s="10"/>
      <c r="Q522" s="10"/>
      <c r="R522" s="10"/>
      <c r="S522" s="10"/>
      <c r="T522" s="10"/>
      <c r="U522" s="10"/>
      <c r="V522" s="10"/>
      <c r="W522" s="10"/>
      <c r="X522" s="10"/>
      <c r="Y522" s="10"/>
    </row>
    <row r="523" spans="1:25" ht="16.5" customHeight="1" x14ac:dyDescent="0.2">
      <c r="A523" s="324"/>
      <c r="B523" s="325"/>
      <c r="C523" s="326"/>
      <c r="D523" s="148">
        <v>0.8</v>
      </c>
      <c r="E523" s="148">
        <v>0.15</v>
      </c>
      <c r="F523" s="148">
        <v>7</v>
      </c>
      <c r="G523" s="148">
        <v>1</v>
      </c>
      <c r="H523" s="148"/>
      <c r="I523" s="148"/>
      <c r="J523" s="170">
        <f t="shared" si="23"/>
        <v>0.84</v>
      </c>
      <c r="K523" s="10"/>
      <c r="L523" s="10"/>
      <c r="M523" s="10"/>
      <c r="N523" s="10"/>
      <c r="O523" s="10"/>
      <c r="P523" s="10"/>
      <c r="Q523" s="10"/>
      <c r="R523" s="10"/>
      <c r="S523" s="10"/>
      <c r="T523" s="10"/>
      <c r="U523" s="10"/>
      <c r="V523" s="10"/>
      <c r="W523" s="10"/>
      <c r="X523" s="10"/>
      <c r="Y523" s="10"/>
    </row>
    <row r="524" spans="1:25" ht="16.5" customHeight="1" x14ac:dyDescent="0.2">
      <c r="A524" s="321" t="s">
        <v>681</v>
      </c>
      <c r="B524" s="322"/>
      <c r="C524" s="323"/>
      <c r="D524" s="148">
        <v>0.7</v>
      </c>
      <c r="E524" s="148">
        <v>0.15</v>
      </c>
      <c r="F524" s="148">
        <v>7</v>
      </c>
      <c r="G524" s="148">
        <v>3</v>
      </c>
      <c r="H524" s="148"/>
      <c r="I524" s="148"/>
      <c r="J524" s="170">
        <f t="shared" si="23"/>
        <v>2.2050000000000001</v>
      </c>
      <c r="K524" s="10"/>
      <c r="L524" s="10"/>
      <c r="M524" s="10"/>
      <c r="N524" s="10"/>
      <c r="O524" s="10"/>
      <c r="P524" s="10"/>
      <c r="Q524" s="10"/>
      <c r="R524" s="10"/>
      <c r="S524" s="10"/>
      <c r="T524" s="10"/>
      <c r="U524" s="10"/>
      <c r="V524" s="10"/>
      <c r="W524" s="10"/>
      <c r="X524" s="10"/>
      <c r="Y524" s="10"/>
    </row>
    <row r="525" spans="1:25" ht="16.5" customHeight="1" x14ac:dyDescent="0.2">
      <c r="A525" s="324"/>
      <c r="B525" s="325"/>
      <c r="C525" s="326"/>
      <c r="D525" s="148">
        <v>0.8</v>
      </c>
      <c r="E525" s="148">
        <v>0.15</v>
      </c>
      <c r="F525" s="148">
        <v>7</v>
      </c>
      <c r="G525" s="148">
        <v>1</v>
      </c>
      <c r="H525" s="148"/>
      <c r="I525" s="148"/>
      <c r="J525" s="170">
        <f t="shared" si="23"/>
        <v>0.84</v>
      </c>
      <c r="K525" s="10"/>
      <c r="L525" s="10"/>
      <c r="M525" s="10"/>
      <c r="N525" s="10"/>
      <c r="O525" s="10"/>
      <c r="P525" s="10"/>
      <c r="Q525" s="10"/>
      <c r="R525" s="10"/>
      <c r="S525" s="10"/>
      <c r="T525" s="10"/>
      <c r="U525" s="10"/>
      <c r="V525" s="10"/>
      <c r="W525" s="10"/>
      <c r="X525" s="10"/>
      <c r="Y525" s="10"/>
    </row>
    <row r="526" spans="1:25" ht="16.5" customHeight="1" x14ac:dyDescent="0.2">
      <c r="A526" s="321" t="s">
        <v>682</v>
      </c>
      <c r="B526" s="322"/>
      <c r="C526" s="323"/>
      <c r="D526" s="148">
        <v>0.7</v>
      </c>
      <c r="E526" s="148">
        <v>0.15</v>
      </c>
      <c r="F526" s="148">
        <v>7</v>
      </c>
      <c r="G526" s="148">
        <v>3</v>
      </c>
      <c r="H526" s="148"/>
      <c r="I526" s="148"/>
      <c r="J526" s="170">
        <f t="shared" si="23"/>
        <v>2.2050000000000001</v>
      </c>
      <c r="K526" s="10"/>
      <c r="L526" s="10"/>
      <c r="M526" s="10"/>
      <c r="N526" s="10"/>
      <c r="O526" s="10"/>
      <c r="P526" s="10"/>
      <c r="Q526" s="10"/>
      <c r="R526" s="10"/>
      <c r="S526" s="10"/>
      <c r="T526" s="10"/>
      <c r="U526" s="10"/>
      <c r="V526" s="10"/>
      <c r="W526" s="10"/>
      <c r="X526" s="10"/>
      <c r="Y526" s="10"/>
    </row>
    <row r="527" spans="1:25" ht="16.5" customHeight="1" x14ac:dyDescent="0.2">
      <c r="A527" s="324"/>
      <c r="B527" s="325"/>
      <c r="C527" s="326"/>
      <c r="D527" s="148">
        <v>0.8</v>
      </c>
      <c r="E527" s="148">
        <v>0.15</v>
      </c>
      <c r="F527" s="148">
        <v>7</v>
      </c>
      <c r="G527" s="148">
        <v>1</v>
      </c>
      <c r="H527" s="148"/>
      <c r="I527" s="148"/>
      <c r="J527" s="170">
        <f t="shared" si="23"/>
        <v>0.84</v>
      </c>
      <c r="K527" s="10"/>
      <c r="L527" s="10"/>
      <c r="M527" s="10"/>
      <c r="N527" s="10"/>
      <c r="O527" s="10"/>
      <c r="P527" s="10"/>
      <c r="Q527" s="10"/>
      <c r="R527" s="10"/>
      <c r="S527" s="10"/>
      <c r="T527" s="10"/>
      <c r="U527" s="10"/>
      <c r="V527" s="10"/>
      <c r="W527" s="10"/>
      <c r="X527" s="10"/>
      <c r="Y527" s="10"/>
    </row>
    <row r="528" spans="1:25" ht="16.5" customHeight="1" x14ac:dyDescent="0.2">
      <c r="A528" s="321" t="s">
        <v>683</v>
      </c>
      <c r="B528" s="322"/>
      <c r="C528" s="323"/>
      <c r="D528" s="148">
        <v>0.7</v>
      </c>
      <c r="E528" s="148">
        <v>0.15</v>
      </c>
      <c r="F528" s="148">
        <v>7</v>
      </c>
      <c r="G528" s="148">
        <v>3</v>
      </c>
      <c r="H528" s="148"/>
      <c r="I528" s="148"/>
      <c r="J528" s="170">
        <f t="shared" si="23"/>
        <v>2.2050000000000001</v>
      </c>
      <c r="K528" s="10"/>
      <c r="L528" s="10"/>
      <c r="M528" s="10"/>
      <c r="N528" s="10"/>
      <c r="O528" s="10"/>
      <c r="P528" s="10"/>
      <c r="Q528" s="10"/>
      <c r="R528" s="10"/>
      <c r="S528" s="10"/>
      <c r="T528" s="10"/>
      <c r="U528" s="10"/>
      <c r="V528" s="10"/>
      <c r="W528" s="10"/>
      <c r="X528" s="10"/>
      <c r="Y528" s="10"/>
    </row>
    <row r="529" spans="1:25" ht="16.5" customHeight="1" x14ac:dyDescent="0.2">
      <c r="A529" s="324"/>
      <c r="B529" s="325"/>
      <c r="C529" s="326"/>
      <c r="D529" s="148">
        <v>0.8</v>
      </c>
      <c r="E529" s="148">
        <v>0.15</v>
      </c>
      <c r="F529" s="148">
        <v>7</v>
      </c>
      <c r="G529" s="148">
        <v>1</v>
      </c>
      <c r="H529" s="148"/>
      <c r="I529" s="148"/>
      <c r="J529" s="170">
        <f t="shared" si="23"/>
        <v>0.84</v>
      </c>
      <c r="K529" s="10"/>
      <c r="L529" s="10"/>
      <c r="M529" s="10"/>
      <c r="N529" s="10"/>
      <c r="O529" s="10"/>
      <c r="P529" s="10"/>
      <c r="Q529" s="10"/>
      <c r="R529" s="10"/>
      <c r="S529" s="10"/>
      <c r="T529" s="10"/>
      <c r="U529" s="10"/>
      <c r="V529" s="10"/>
      <c r="W529" s="10"/>
      <c r="X529" s="10"/>
      <c r="Y529" s="10"/>
    </row>
    <row r="530" spans="1:25" ht="16.5" customHeight="1" x14ac:dyDescent="0.2">
      <c r="A530" s="321" t="s">
        <v>684</v>
      </c>
      <c r="B530" s="322"/>
      <c r="C530" s="323"/>
      <c r="D530" s="148">
        <v>0.7</v>
      </c>
      <c r="E530" s="148">
        <v>0.15</v>
      </c>
      <c r="F530" s="148">
        <v>7</v>
      </c>
      <c r="G530" s="148">
        <v>3</v>
      </c>
      <c r="H530" s="148"/>
      <c r="I530" s="148"/>
      <c r="J530" s="170">
        <f t="shared" si="23"/>
        <v>2.2050000000000001</v>
      </c>
      <c r="K530" s="10"/>
      <c r="L530" s="10"/>
      <c r="M530" s="10"/>
      <c r="N530" s="10"/>
      <c r="O530" s="10"/>
      <c r="P530" s="10"/>
      <c r="Q530" s="10"/>
      <c r="R530" s="10"/>
      <c r="S530" s="10"/>
      <c r="T530" s="10"/>
      <c r="U530" s="10"/>
      <c r="V530" s="10"/>
      <c r="W530" s="10"/>
      <c r="X530" s="10"/>
      <c r="Y530" s="10"/>
    </row>
    <row r="531" spans="1:25" ht="16.5" customHeight="1" x14ac:dyDescent="0.2">
      <c r="A531" s="324"/>
      <c r="B531" s="325"/>
      <c r="C531" s="326"/>
      <c r="D531" s="148">
        <v>0.8</v>
      </c>
      <c r="E531" s="148">
        <v>0.15</v>
      </c>
      <c r="F531" s="148">
        <v>7</v>
      </c>
      <c r="G531" s="148">
        <v>1</v>
      </c>
      <c r="H531" s="148"/>
      <c r="I531" s="148"/>
      <c r="J531" s="170">
        <f>PRODUCT(D531:H531)-I531</f>
        <v>0.84</v>
      </c>
      <c r="K531" s="10"/>
      <c r="L531" s="10"/>
      <c r="M531" s="10"/>
      <c r="N531" s="10"/>
      <c r="O531" s="10"/>
      <c r="P531" s="10"/>
      <c r="Q531" s="10"/>
      <c r="R531" s="10"/>
      <c r="S531" s="10"/>
      <c r="T531" s="10"/>
      <c r="U531" s="10"/>
      <c r="V531" s="10"/>
      <c r="W531" s="10"/>
      <c r="X531" s="10"/>
      <c r="Y531" s="10"/>
    </row>
    <row r="532" spans="1:25" ht="16.5" customHeight="1" x14ac:dyDescent="0.2">
      <c r="A532" s="321" t="s">
        <v>685</v>
      </c>
      <c r="B532" s="322"/>
      <c r="C532" s="323"/>
      <c r="D532" s="148">
        <v>0.7</v>
      </c>
      <c r="E532" s="148">
        <v>0.15</v>
      </c>
      <c r="F532" s="148">
        <v>7</v>
      </c>
      <c r="G532" s="148">
        <v>3</v>
      </c>
      <c r="H532" s="148"/>
      <c r="I532" s="148"/>
      <c r="J532" s="170">
        <f t="shared" si="23"/>
        <v>2.2050000000000001</v>
      </c>
      <c r="K532" s="10"/>
      <c r="L532" s="10"/>
      <c r="M532" s="10"/>
      <c r="N532" s="10"/>
      <c r="O532" s="10"/>
      <c r="P532" s="10"/>
      <c r="Q532" s="10"/>
      <c r="R532" s="10"/>
      <c r="S532" s="10"/>
      <c r="T532" s="10"/>
      <c r="U532" s="10"/>
      <c r="V532" s="10"/>
      <c r="W532" s="10"/>
      <c r="X532" s="10"/>
      <c r="Y532" s="10"/>
    </row>
    <row r="533" spans="1:25" ht="16.5" customHeight="1" x14ac:dyDescent="0.2">
      <c r="A533" s="324"/>
      <c r="B533" s="325"/>
      <c r="C533" s="326"/>
      <c r="D533" s="148">
        <v>0.8</v>
      </c>
      <c r="E533" s="148">
        <v>0.15</v>
      </c>
      <c r="F533" s="148">
        <v>7</v>
      </c>
      <c r="G533" s="148">
        <v>1</v>
      </c>
      <c r="H533" s="148"/>
      <c r="I533" s="148"/>
      <c r="J533" s="170">
        <f t="shared" si="23"/>
        <v>0.84</v>
      </c>
      <c r="K533" s="10"/>
      <c r="L533" s="10"/>
      <c r="M533" s="10"/>
      <c r="N533" s="10"/>
      <c r="O533" s="10"/>
      <c r="P533" s="10"/>
      <c r="Q533" s="10"/>
      <c r="R533" s="10"/>
      <c r="S533" s="10"/>
      <c r="T533" s="10"/>
      <c r="U533" s="10"/>
      <c r="V533" s="10"/>
      <c r="W533" s="10"/>
      <c r="X533" s="10"/>
      <c r="Y533" s="10"/>
    </row>
    <row r="534" spans="1:25" ht="16.5" customHeight="1" x14ac:dyDescent="0.2">
      <c r="A534" s="321" t="s">
        <v>687</v>
      </c>
      <c r="B534" s="322"/>
      <c r="C534" s="323"/>
      <c r="D534" s="148">
        <v>0.7</v>
      </c>
      <c r="E534" s="148">
        <v>0.15</v>
      </c>
      <c r="F534" s="148">
        <v>7</v>
      </c>
      <c r="G534" s="148">
        <v>3</v>
      </c>
      <c r="H534" s="148"/>
      <c r="I534" s="148"/>
      <c r="J534" s="170">
        <f t="shared" si="23"/>
        <v>2.2050000000000001</v>
      </c>
      <c r="K534" s="10"/>
      <c r="L534" s="10"/>
      <c r="M534" s="10"/>
      <c r="N534" s="10"/>
      <c r="O534" s="10"/>
      <c r="P534" s="10"/>
      <c r="Q534" s="10"/>
      <c r="R534" s="10"/>
      <c r="S534" s="10"/>
      <c r="T534" s="10"/>
      <c r="U534" s="10"/>
      <c r="V534" s="10"/>
      <c r="W534" s="10"/>
      <c r="X534" s="10"/>
      <c r="Y534" s="10"/>
    </row>
    <row r="535" spans="1:25" ht="16.5" customHeight="1" x14ac:dyDescent="0.2">
      <c r="A535" s="324"/>
      <c r="B535" s="325"/>
      <c r="C535" s="326"/>
      <c r="D535" s="148">
        <v>0.8</v>
      </c>
      <c r="E535" s="148">
        <v>0.15</v>
      </c>
      <c r="F535" s="148">
        <v>7</v>
      </c>
      <c r="G535" s="148">
        <v>1</v>
      </c>
      <c r="H535" s="148"/>
      <c r="I535" s="148"/>
      <c r="J535" s="170">
        <f t="shared" si="23"/>
        <v>0.84</v>
      </c>
      <c r="K535" s="10"/>
      <c r="L535" s="10"/>
      <c r="M535" s="10"/>
      <c r="N535" s="10"/>
      <c r="O535" s="10"/>
      <c r="P535" s="10"/>
      <c r="Q535" s="10"/>
      <c r="R535" s="10"/>
      <c r="S535" s="10"/>
      <c r="T535" s="10"/>
      <c r="U535" s="10"/>
      <c r="V535" s="10"/>
      <c r="W535" s="10"/>
      <c r="X535" s="10"/>
      <c r="Y535" s="10"/>
    </row>
    <row r="536" spans="1:25" s="31" customFormat="1" ht="16.5" customHeight="1" x14ac:dyDescent="0.2">
      <c r="A536" s="318" t="s">
        <v>775</v>
      </c>
      <c r="B536" s="319"/>
      <c r="C536" s="332"/>
      <c r="D536" s="148">
        <v>1.1000000000000001</v>
      </c>
      <c r="E536" s="148">
        <v>0.15</v>
      </c>
      <c r="F536" s="148">
        <v>7</v>
      </c>
      <c r="G536" s="148">
        <v>1</v>
      </c>
      <c r="H536" s="170"/>
      <c r="I536" s="126"/>
      <c r="J536" s="170">
        <f t="shared" si="23"/>
        <v>1.155</v>
      </c>
      <c r="K536" s="150"/>
      <c r="L536" s="150"/>
      <c r="M536" s="150"/>
      <c r="N536" s="150"/>
      <c r="O536" s="150"/>
      <c r="P536" s="150"/>
      <c r="Q536" s="150"/>
      <c r="R536" s="150"/>
      <c r="S536" s="150"/>
      <c r="T536" s="150"/>
      <c r="U536" s="150"/>
      <c r="V536" s="150"/>
      <c r="W536" s="150"/>
      <c r="X536" s="150"/>
      <c r="Y536" s="150"/>
    </row>
    <row r="537" spans="1:25" ht="16.5" customHeight="1" x14ac:dyDescent="0.2">
      <c r="A537" s="342" t="str">
        <f>"TOTAL - "&amp;'Planilha orçamentária'!F53</f>
        <v>TOTAL - M2</v>
      </c>
      <c r="B537" s="342"/>
      <c r="C537" s="342"/>
      <c r="D537" s="342"/>
      <c r="E537" s="342"/>
      <c r="F537" s="342"/>
      <c r="G537" s="342"/>
      <c r="H537" s="342"/>
      <c r="I537" s="342"/>
      <c r="J537" s="149">
        <f>SUM(J505:J536)</f>
        <v>50.190000000000019</v>
      </c>
      <c r="K537" s="10"/>
      <c r="L537" s="10"/>
      <c r="M537" s="10"/>
      <c r="N537" s="10"/>
      <c r="O537" s="10"/>
      <c r="P537" s="10"/>
      <c r="Q537" s="10"/>
      <c r="R537" s="10"/>
      <c r="S537" s="10"/>
      <c r="T537" s="10"/>
      <c r="U537" s="10"/>
      <c r="V537" s="10"/>
      <c r="W537" s="10"/>
      <c r="X537" s="10"/>
      <c r="Y537" s="10"/>
    </row>
    <row r="538" spans="1:25" ht="16.5" customHeight="1" x14ac:dyDescent="0.2">
      <c r="A538" s="184" t="str">
        <f>'Planilha orçamentária'!A54</f>
        <v>8.7</v>
      </c>
      <c r="B538" s="343" t="str">
        <f>'Planilha orçamentária'!D54</f>
        <v>Peitoril de ardósia e = 2 cm</v>
      </c>
      <c r="C538" s="344"/>
      <c r="D538" s="344"/>
      <c r="E538" s="344"/>
      <c r="F538" s="344"/>
      <c r="G538" s="344"/>
      <c r="H538" s="344"/>
      <c r="I538" s="344"/>
      <c r="J538" s="344"/>
      <c r="K538" s="10"/>
      <c r="L538" s="10"/>
      <c r="M538" s="10"/>
      <c r="N538" s="10"/>
      <c r="O538" s="10"/>
      <c r="P538" s="10"/>
      <c r="Q538" s="10"/>
      <c r="R538" s="10"/>
      <c r="S538" s="10"/>
      <c r="T538" s="10"/>
      <c r="U538" s="10"/>
      <c r="V538" s="10"/>
      <c r="W538" s="10"/>
      <c r="X538" s="10"/>
      <c r="Y538" s="10"/>
    </row>
    <row r="539" spans="1:25" ht="25.5" customHeight="1" x14ac:dyDescent="0.2">
      <c r="A539" s="327" t="s">
        <v>120</v>
      </c>
      <c r="B539" s="328"/>
      <c r="C539" s="328"/>
      <c r="D539" s="182" t="s">
        <v>121</v>
      </c>
      <c r="E539" s="182" t="s">
        <v>122</v>
      </c>
      <c r="F539" s="181" t="s">
        <v>489</v>
      </c>
      <c r="G539" s="181" t="s">
        <v>468</v>
      </c>
      <c r="H539" s="181" t="s">
        <v>125</v>
      </c>
      <c r="I539" s="182" t="s">
        <v>126</v>
      </c>
      <c r="J539" s="182" t="s">
        <v>113</v>
      </c>
      <c r="K539" s="10"/>
      <c r="L539" s="10"/>
      <c r="M539" s="10"/>
      <c r="N539" s="10"/>
      <c r="O539" s="10"/>
      <c r="P539" s="10"/>
      <c r="Q539" s="10"/>
      <c r="R539" s="10"/>
      <c r="S539" s="10"/>
      <c r="T539" s="10"/>
      <c r="U539" s="10"/>
      <c r="V539" s="10"/>
      <c r="W539" s="10"/>
      <c r="X539" s="10"/>
      <c r="Y539" s="10"/>
    </row>
    <row r="540" spans="1:25" ht="16.5" customHeight="1" x14ac:dyDescent="0.2">
      <c r="A540" s="321" t="s">
        <v>671</v>
      </c>
      <c r="B540" s="322"/>
      <c r="C540" s="323"/>
      <c r="D540" s="148">
        <v>1.2</v>
      </c>
      <c r="E540" s="148">
        <v>0.15</v>
      </c>
      <c r="F540" s="148">
        <v>7</v>
      </c>
      <c r="G540" s="148">
        <v>4</v>
      </c>
      <c r="H540" s="148"/>
      <c r="I540" s="148"/>
      <c r="J540" s="170">
        <f t="shared" ref="J540:J573" si="24">PRODUCT(D540:H540)-I540</f>
        <v>5.04</v>
      </c>
      <c r="K540" s="10"/>
      <c r="L540" s="10"/>
      <c r="M540" s="10"/>
      <c r="N540" s="10"/>
      <c r="O540" s="10"/>
      <c r="P540" s="10"/>
      <c r="Q540" s="10"/>
      <c r="R540" s="10"/>
      <c r="S540" s="10"/>
      <c r="T540" s="10"/>
      <c r="U540" s="10"/>
      <c r="V540" s="10"/>
      <c r="W540" s="10"/>
      <c r="X540" s="10"/>
      <c r="Y540" s="10"/>
    </row>
    <row r="541" spans="1:25" ht="16.5" customHeight="1" x14ac:dyDescent="0.2">
      <c r="A541" s="324"/>
      <c r="B541" s="325"/>
      <c r="C541" s="326"/>
      <c r="D541" s="148">
        <v>1.8</v>
      </c>
      <c r="E541" s="148">
        <v>0.15</v>
      </c>
      <c r="F541" s="148">
        <v>7</v>
      </c>
      <c r="G541" s="148">
        <v>1</v>
      </c>
      <c r="H541" s="148"/>
      <c r="I541" s="148"/>
      <c r="J541" s="170">
        <f t="shared" si="24"/>
        <v>1.8900000000000001</v>
      </c>
      <c r="K541" s="10"/>
      <c r="L541" s="10"/>
      <c r="M541" s="10"/>
      <c r="N541" s="10"/>
      <c r="O541" s="10"/>
      <c r="P541" s="10"/>
      <c r="Q541" s="10"/>
      <c r="R541" s="10"/>
      <c r="S541" s="10"/>
      <c r="T541" s="10"/>
      <c r="U541" s="10"/>
      <c r="V541" s="10"/>
      <c r="W541" s="10"/>
      <c r="X541" s="10"/>
      <c r="Y541" s="10"/>
    </row>
    <row r="542" spans="1:25" ht="16.5" customHeight="1" x14ac:dyDescent="0.2">
      <c r="A542" s="321" t="s">
        <v>672</v>
      </c>
      <c r="B542" s="322"/>
      <c r="C542" s="323"/>
      <c r="D542" s="148">
        <v>1.2</v>
      </c>
      <c r="E542" s="148">
        <v>0.15</v>
      </c>
      <c r="F542" s="148">
        <v>7</v>
      </c>
      <c r="G542" s="148">
        <v>4</v>
      </c>
      <c r="H542" s="148"/>
      <c r="I542" s="148"/>
      <c r="J542" s="170">
        <f t="shared" si="24"/>
        <v>5.04</v>
      </c>
      <c r="K542" s="10"/>
      <c r="L542" s="10"/>
      <c r="M542" s="10"/>
      <c r="N542" s="10"/>
      <c r="O542" s="10"/>
      <c r="P542" s="10"/>
      <c r="Q542" s="10"/>
      <c r="R542" s="10"/>
      <c r="S542" s="10"/>
      <c r="T542" s="10"/>
      <c r="U542" s="10"/>
      <c r="V542" s="10"/>
      <c r="W542" s="10"/>
      <c r="X542" s="10"/>
      <c r="Y542" s="10"/>
    </row>
    <row r="543" spans="1:25" ht="16.5" customHeight="1" x14ac:dyDescent="0.2">
      <c r="A543" s="324"/>
      <c r="B543" s="325"/>
      <c r="C543" s="326"/>
      <c r="D543" s="148">
        <v>1.8</v>
      </c>
      <c r="E543" s="148">
        <v>0.15</v>
      </c>
      <c r="F543" s="148">
        <v>7</v>
      </c>
      <c r="G543" s="148">
        <v>1</v>
      </c>
      <c r="H543" s="148"/>
      <c r="I543" s="148"/>
      <c r="J543" s="170">
        <f t="shared" si="24"/>
        <v>1.8900000000000001</v>
      </c>
      <c r="K543" s="10"/>
      <c r="L543" s="10"/>
      <c r="M543" s="10"/>
      <c r="N543" s="10"/>
      <c r="O543" s="10"/>
      <c r="P543" s="10"/>
      <c r="Q543" s="10"/>
      <c r="R543" s="10"/>
      <c r="S543" s="10"/>
      <c r="T543" s="10"/>
      <c r="U543" s="10"/>
      <c r="V543" s="10"/>
      <c r="W543" s="10"/>
      <c r="X543" s="10"/>
      <c r="Y543" s="10"/>
    </row>
    <row r="544" spans="1:25" ht="16.5" customHeight="1" x14ac:dyDescent="0.2">
      <c r="A544" s="321" t="s">
        <v>673</v>
      </c>
      <c r="B544" s="322"/>
      <c r="C544" s="323"/>
      <c r="D544" s="148">
        <v>1.2</v>
      </c>
      <c r="E544" s="148">
        <v>0.15</v>
      </c>
      <c r="F544" s="148">
        <v>7</v>
      </c>
      <c r="G544" s="148">
        <v>4</v>
      </c>
      <c r="H544" s="148"/>
      <c r="I544" s="148"/>
      <c r="J544" s="170">
        <f t="shared" si="24"/>
        <v>5.04</v>
      </c>
      <c r="K544" s="10"/>
      <c r="L544" s="10"/>
      <c r="M544" s="10"/>
      <c r="N544" s="10"/>
      <c r="O544" s="10"/>
      <c r="P544" s="10"/>
      <c r="Q544" s="10"/>
      <c r="R544" s="10"/>
      <c r="S544" s="10"/>
      <c r="T544" s="10"/>
      <c r="U544" s="10"/>
      <c r="V544" s="10"/>
      <c r="W544" s="10"/>
      <c r="X544" s="10"/>
      <c r="Y544" s="10"/>
    </row>
    <row r="545" spans="1:25" ht="16.5" customHeight="1" x14ac:dyDescent="0.2">
      <c r="A545" s="324"/>
      <c r="B545" s="325"/>
      <c r="C545" s="326"/>
      <c r="D545" s="148">
        <v>1.8</v>
      </c>
      <c r="E545" s="148">
        <v>0.15</v>
      </c>
      <c r="F545" s="148">
        <v>7</v>
      </c>
      <c r="G545" s="148">
        <v>1</v>
      </c>
      <c r="H545" s="148"/>
      <c r="I545" s="148"/>
      <c r="J545" s="170">
        <f t="shared" si="24"/>
        <v>1.8900000000000001</v>
      </c>
      <c r="K545" s="10"/>
      <c r="L545" s="10"/>
      <c r="M545" s="10"/>
      <c r="N545" s="10"/>
      <c r="O545" s="10"/>
      <c r="P545" s="10"/>
      <c r="Q545" s="10"/>
      <c r="R545" s="10"/>
      <c r="S545" s="10"/>
      <c r="T545" s="10"/>
      <c r="U545" s="10"/>
      <c r="V545" s="10"/>
      <c r="W545" s="10"/>
      <c r="X545" s="10"/>
      <c r="Y545" s="10"/>
    </row>
    <row r="546" spans="1:25" ht="16.5" customHeight="1" x14ac:dyDescent="0.2">
      <c r="A546" s="321" t="s">
        <v>674</v>
      </c>
      <c r="B546" s="322"/>
      <c r="C546" s="323"/>
      <c r="D546" s="148">
        <v>1.2</v>
      </c>
      <c r="E546" s="148">
        <v>0.15</v>
      </c>
      <c r="F546" s="148">
        <v>7</v>
      </c>
      <c r="G546" s="148">
        <v>4</v>
      </c>
      <c r="H546" s="148"/>
      <c r="I546" s="148"/>
      <c r="J546" s="170">
        <f t="shared" si="24"/>
        <v>5.04</v>
      </c>
      <c r="K546" s="10"/>
      <c r="L546" s="10"/>
      <c r="M546" s="10"/>
      <c r="N546" s="10"/>
      <c r="O546" s="10"/>
      <c r="P546" s="10"/>
      <c r="Q546" s="10"/>
      <c r="R546" s="10"/>
      <c r="S546" s="10"/>
      <c r="T546" s="10"/>
      <c r="U546" s="10"/>
      <c r="V546" s="10"/>
      <c r="W546" s="10"/>
      <c r="X546" s="10"/>
      <c r="Y546" s="10"/>
    </row>
    <row r="547" spans="1:25" ht="16.5" customHeight="1" x14ac:dyDescent="0.2">
      <c r="A547" s="324"/>
      <c r="B547" s="325"/>
      <c r="C547" s="326"/>
      <c r="D547" s="148">
        <v>1.8</v>
      </c>
      <c r="E547" s="148">
        <v>0.15</v>
      </c>
      <c r="F547" s="148">
        <v>7</v>
      </c>
      <c r="G547" s="148">
        <v>1</v>
      </c>
      <c r="H547" s="148"/>
      <c r="I547" s="148"/>
      <c r="J547" s="170">
        <f t="shared" si="24"/>
        <v>1.8900000000000001</v>
      </c>
      <c r="K547" s="10"/>
      <c r="L547" s="10"/>
      <c r="M547" s="10"/>
      <c r="N547" s="10"/>
      <c r="O547" s="10"/>
      <c r="P547" s="10"/>
      <c r="Q547" s="10"/>
      <c r="R547" s="10"/>
      <c r="S547" s="10"/>
      <c r="T547" s="10"/>
      <c r="U547" s="10"/>
      <c r="V547" s="10"/>
      <c r="W547" s="10"/>
      <c r="X547" s="10"/>
      <c r="Y547" s="10"/>
    </row>
    <row r="548" spans="1:25" ht="16.5" customHeight="1" x14ac:dyDescent="0.2">
      <c r="A548" s="321" t="s">
        <v>675</v>
      </c>
      <c r="B548" s="322"/>
      <c r="C548" s="323"/>
      <c r="D548" s="148">
        <v>1.2</v>
      </c>
      <c r="E548" s="148">
        <v>0.15</v>
      </c>
      <c r="F548" s="148">
        <v>7</v>
      </c>
      <c r="G548" s="148">
        <v>4</v>
      </c>
      <c r="H548" s="148"/>
      <c r="I548" s="148"/>
      <c r="J548" s="170">
        <f t="shared" si="24"/>
        <v>5.04</v>
      </c>
      <c r="K548" s="10"/>
      <c r="L548" s="10"/>
      <c r="M548" s="10"/>
      <c r="N548" s="10"/>
      <c r="O548" s="10"/>
      <c r="P548" s="10"/>
      <c r="Q548" s="10"/>
      <c r="R548" s="10"/>
      <c r="S548" s="10"/>
      <c r="T548" s="10"/>
      <c r="U548" s="10"/>
      <c r="V548" s="10"/>
      <c r="W548" s="10"/>
      <c r="X548" s="10"/>
      <c r="Y548" s="10"/>
    </row>
    <row r="549" spans="1:25" ht="16.5" customHeight="1" x14ac:dyDescent="0.2">
      <c r="A549" s="324"/>
      <c r="B549" s="325"/>
      <c r="C549" s="326"/>
      <c r="D549" s="148">
        <v>1.8</v>
      </c>
      <c r="E549" s="148">
        <v>0.15</v>
      </c>
      <c r="F549" s="148">
        <v>7</v>
      </c>
      <c r="G549" s="148">
        <v>1</v>
      </c>
      <c r="H549" s="148"/>
      <c r="I549" s="148"/>
      <c r="J549" s="170">
        <f t="shared" si="24"/>
        <v>1.8900000000000001</v>
      </c>
      <c r="K549" s="10"/>
      <c r="L549" s="10"/>
      <c r="M549" s="10"/>
      <c r="N549" s="10"/>
      <c r="O549" s="10"/>
      <c r="P549" s="10"/>
      <c r="Q549" s="10"/>
      <c r="R549" s="10"/>
      <c r="S549" s="10"/>
      <c r="T549" s="10"/>
      <c r="U549" s="10"/>
      <c r="V549" s="10"/>
      <c r="W549" s="10"/>
      <c r="X549" s="10"/>
      <c r="Y549" s="10"/>
    </row>
    <row r="550" spans="1:25" ht="16.5" customHeight="1" x14ac:dyDescent="0.2">
      <c r="A550" s="321" t="s">
        <v>676</v>
      </c>
      <c r="B550" s="322"/>
      <c r="C550" s="323"/>
      <c r="D550" s="148">
        <v>1.2</v>
      </c>
      <c r="E550" s="148">
        <v>0.15</v>
      </c>
      <c r="F550" s="148">
        <v>7</v>
      </c>
      <c r="G550" s="148">
        <v>4</v>
      </c>
      <c r="H550" s="148"/>
      <c r="I550" s="148"/>
      <c r="J550" s="170">
        <f t="shared" si="24"/>
        <v>5.04</v>
      </c>
      <c r="K550" s="10"/>
      <c r="L550" s="10"/>
      <c r="M550" s="10"/>
      <c r="N550" s="10"/>
      <c r="O550" s="10"/>
      <c r="P550" s="10"/>
      <c r="Q550" s="10"/>
      <c r="R550" s="10"/>
      <c r="S550" s="10"/>
      <c r="T550" s="10"/>
      <c r="U550" s="10"/>
      <c r="V550" s="10"/>
      <c r="W550" s="10"/>
      <c r="X550" s="10"/>
      <c r="Y550" s="10"/>
    </row>
    <row r="551" spans="1:25" ht="16.5" customHeight="1" x14ac:dyDescent="0.2">
      <c r="A551" s="324"/>
      <c r="B551" s="325"/>
      <c r="C551" s="326"/>
      <c r="D551" s="148">
        <v>1.8</v>
      </c>
      <c r="E551" s="148">
        <v>0.15</v>
      </c>
      <c r="F551" s="148">
        <v>7</v>
      </c>
      <c r="G551" s="148">
        <v>1</v>
      </c>
      <c r="H551" s="148"/>
      <c r="I551" s="148"/>
      <c r="J551" s="170">
        <f t="shared" si="24"/>
        <v>1.8900000000000001</v>
      </c>
      <c r="K551" s="10"/>
      <c r="L551" s="10"/>
      <c r="M551" s="10"/>
      <c r="N551" s="10"/>
      <c r="O551" s="10"/>
      <c r="P551" s="10"/>
      <c r="Q551" s="10"/>
      <c r="R551" s="10"/>
      <c r="S551" s="10"/>
      <c r="T551" s="10"/>
      <c r="U551" s="10"/>
      <c r="V551" s="10"/>
      <c r="W551" s="10"/>
      <c r="X551" s="10"/>
      <c r="Y551" s="10"/>
    </row>
    <row r="552" spans="1:25" ht="16.5" customHeight="1" x14ac:dyDescent="0.2">
      <c r="A552" s="321" t="s">
        <v>677</v>
      </c>
      <c r="B552" s="322"/>
      <c r="C552" s="323"/>
      <c r="D552" s="148">
        <v>1.2</v>
      </c>
      <c r="E552" s="148">
        <v>0.15</v>
      </c>
      <c r="F552" s="148">
        <v>7</v>
      </c>
      <c r="G552" s="148">
        <v>4</v>
      </c>
      <c r="H552" s="148"/>
      <c r="I552" s="148"/>
      <c r="J552" s="170">
        <f t="shared" si="24"/>
        <v>5.04</v>
      </c>
      <c r="K552" s="10"/>
      <c r="L552" s="10"/>
      <c r="M552" s="10"/>
      <c r="N552" s="10"/>
      <c r="O552" s="10"/>
      <c r="P552" s="10"/>
      <c r="Q552" s="10"/>
      <c r="R552" s="10"/>
      <c r="S552" s="10"/>
      <c r="T552" s="10"/>
      <c r="U552" s="10"/>
      <c r="V552" s="10"/>
      <c r="W552" s="10"/>
      <c r="X552" s="10"/>
      <c r="Y552" s="10"/>
    </row>
    <row r="553" spans="1:25" ht="16.5" customHeight="1" x14ac:dyDescent="0.2">
      <c r="A553" s="324"/>
      <c r="B553" s="325"/>
      <c r="C553" s="326"/>
      <c r="D553" s="148">
        <v>1.8</v>
      </c>
      <c r="E553" s="148">
        <v>0.15</v>
      </c>
      <c r="F553" s="148">
        <v>7</v>
      </c>
      <c r="G553" s="148">
        <v>1</v>
      </c>
      <c r="H553" s="148"/>
      <c r="I553" s="148"/>
      <c r="J553" s="170">
        <f t="shared" si="24"/>
        <v>1.8900000000000001</v>
      </c>
      <c r="K553" s="10"/>
      <c r="L553" s="10"/>
      <c r="M553" s="10"/>
      <c r="N553" s="10"/>
      <c r="O553" s="10"/>
      <c r="P553" s="10"/>
      <c r="Q553" s="10"/>
      <c r="R553" s="10"/>
      <c r="S553" s="10"/>
      <c r="T553" s="10"/>
      <c r="U553" s="10"/>
      <c r="V553" s="10"/>
      <c r="W553" s="10"/>
      <c r="X553" s="10"/>
      <c r="Y553" s="10"/>
    </row>
    <row r="554" spans="1:25" ht="16.5" customHeight="1" x14ac:dyDescent="0.2">
      <c r="A554" s="321" t="s">
        <v>678</v>
      </c>
      <c r="B554" s="322"/>
      <c r="C554" s="323"/>
      <c r="D554" s="148">
        <v>1.2</v>
      </c>
      <c r="E554" s="148">
        <v>0.15</v>
      </c>
      <c r="F554" s="148">
        <v>7</v>
      </c>
      <c r="G554" s="148">
        <v>4</v>
      </c>
      <c r="H554" s="148"/>
      <c r="I554" s="148"/>
      <c r="J554" s="170">
        <f t="shared" si="24"/>
        <v>5.04</v>
      </c>
      <c r="K554" s="10"/>
      <c r="L554" s="10"/>
      <c r="M554" s="10"/>
      <c r="N554" s="10"/>
      <c r="O554" s="10"/>
      <c r="P554" s="10"/>
      <c r="Q554" s="10"/>
      <c r="R554" s="10"/>
      <c r="S554" s="10"/>
      <c r="T554" s="10"/>
      <c r="U554" s="10"/>
      <c r="V554" s="10"/>
      <c r="W554" s="10"/>
      <c r="X554" s="10"/>
      <c r="Y554" s="10"/>
    </row>
    <row r="555" spans="1:25" ht="16.5" customHeight="1" x14ac:dyDescent="0.2">
      <c r="A555" s="324"/>
      <c r="B555" s="325"/>
      <c r="C555" s="326"/>
      <c r="D555" s="148">
        <v>1.8</v>
      </c>
      <c r="E555" s="148">
        <v>0.15</v>
      </c>
      <c r="F555" s="148">
        <v>7</v>
      </c>
      <c r="G555" s="148">
        <v>1</v>
      </c>
      <c r="H555" s="148"/>
      <c r="I555" s="148"/>
      <c r="J555" s="170">
        <f t="shared" si="24"/>
        <v>1.8900000000000001</v>
      </c>
      <c r="K555" s="10"/>
      <c r="L555" s="10"/>
      <c r="M555" s="10"/>
      <c r="N555" s="10"/>
      <c r="O555" s="10"/>
      <c r="P555" s="10"/>
      <c r="Q555" s="10"/>
      <c r="R555" s="10"/>
      <c r="S555" s="10"/>
      <c r="T555" s="10"/>
      <c r="U555" s="10"/>
      <c r="V555" s="10"/>
      <c r="W555" s="10"/>
      <c r="X555" s="10"/>
      <c r="Y555" s="10"/>
    </row>
    <row r="556" spans="1:25" ht="16.5" customHeight="1" x14ac:dyDescent="0.2">
      <c r="A556" s="321" t="s">
        <v>679</v>
      </c>
      <c r="B556" s="322"/>
      <c r="C556" s="323"/>
      <c r="D556" s="148">
        <v>1.2</v>
      </c>
      <c r="E556" s="148">
        <v>0.15</v>
      </c>
      <c r="F556" s="148">
        <v>7</v>
      </c>
      <c r="G556" s="148">
        <v>4</v>
      </c>
      <c r="H556" s="148"/>
      <c r="I556" s="148"/>
      <c r="J556" s="170">
        <f t="shared" si="24"/>
        <v>5.04</v>
      </c>
      <c r="K556" s="10"/>
      <c r="L556" s="10"/>
      <c r="M556" s="10"/>
      <c r="N556" s="10"/>
      <c r="O556" s="10"/>
      <c r="P556" s="10"/>
      <c r="Q556" s="10"/>
      <c r="R556" s="10"/>
      <c r="S556" s="10"/>
      <c r="T556" s="10"/>
      <c r="U556" s="10"/>
      <c r="V556" s="10"/>
      <c r="W556" s="10"/>
      <c r="X556" s="10"/>
      <c r="Y556" s="10"/>
    </row>
    <row r="557" spans="1:25" ht="16.5" customHeight="1" x14ac:dyDescent="0.2">
      <c r="A557" s="324"/>
      <c r="B557" s="325"/>
      <c r="C557" s="326"/>
      <c r="D557" s="148">
        <v>1.8</v>
      </c>
      <c r="E557" s="148">
        <v>0.15</v>
      </c>
      <c r="F557" s="148">
        <v>7</v>
      </c>
      <c r="G557" s="148">
        <v>1</v>
      </c>
      <c r="H557" s="148"/>
      <c r="I557" s="148"/>
      <c r="J557" s="170">
        <f t="shared" si="24"/>
        <v>1.8900000000000001</v>
      </c>
      <c r="K557" s="10"/>
      <c r="L557" s="10"/>
      <c r="M557" s="10"/>
      <c r="N557" s="10"/>
      <c r="O557" s="10"/>
      <c r="P557" s="10"/>
      <c r="Q557" s="10"/>
      <c r="R557" s="10"/>
      <c r="S557" s="10"/>
      <c r="T557" s="10"/>
      <c r="U557" s="10"/>
      <c r="V557" s="10"/>
      <c r="W557" s="10"/>
      <c r="X557" s="10"/>
      <c r="Y557" s="10"/>
    </row>
    <row r="558" spans="1:25" ht="16.5" customHeight="1" x14ac:dyDescent="0.2">
      <c r="A558" s="321" t="s">
        <v>769</v>
      </c>
      <c r="B558" s="322"/>
      <c r="C558" s="323"/>
      <c r="D558" s="148">
        <v>1.2</v>
      </c>
      <c r="E558" s="148">
        <v>0.15</v>
      </c>
      <c r="F558" s="148">
        <v>7</v>
      </c>
      <c r="G558" s="148">
        <v>4</v>
      </c>
      <c r="H558" s="148"/>
      <c r="I558" s="148"/>
      <c r="J558" s="170">
        <f t="shared" si="24"/>
        <v>5.04</v>
      </c>
      <c r="K558" s="10"/>
      <c r="L558" s="10"/>
      <c r="M558" s="10"/>
      <c r="N558" s="10"/>
      <c r="O558" s="10"/>
      <c r="P558" s="10"/>
      <c r="Q558" s="10"/>
      <c r="R558" s="10"/>
      <c r="S558" s="10"/>
      <c r="T558" s="10"/>
      <c r="U558" s="10"/>
      <c r="V558" s="10"/>
      <c r="W558" s="10"/>
      <c r="X558" s="10"/>
      <c r="Y558" s="10"/>
    </row>
    <row r="559" spans="1:25" ht="16.5" customHeight="1" x14ac:dyDescent="0.2">
      <c r="A559" s="324"/>
      <c r="B559" s="325"/>
      <c r="C559" s="326"/>
      <c r="D559" s="148">
        <v>1.8</v>
      </c>
      <c r="E559" s="148">
        <v>0.15</v>
      </c>
      <c r="F559" s="148">
        <v>7</v>
      </c>
      <c r="G559" s="148">
        <v>1</v>
      </c>
      <c r="H559" s="148"/>
      <c r="I559" s="148"/>
      <c r="J559" s="170">
        <f t="shared" si="24"/>
        <v>1.8900000000000001</v>
      </c>
      <c r="K559" s="10"/>
      <c r="L559" s="10"/>
      <c r="M559" s="10"/>
      <c r="N559" s="10"/>
      <c r="O559" s="10"/>
      <c r="P559" s="10"/>
      <c r="Q559" s="10"/>
      <c r="R559" s="10"/>
      <c r="S559" s="10"/>
      <c r="T559" s="10"/>
      <c r="U559" s="10"/>
      <c r="V559" s="10"/>
      <c r="W559" s="10"/>
      <c r="X559" s="10"/>
      <c r="Y559" s="10"/>
    </row>
    <row r="560" spans="1:25" ht="16.5" customHeight="1" x14ac:dyDescent="0.2">
      <c r="A560" s="321" t="s">
        <v>681</v>
      </c>
      <c r="B560" s="322"/>
      <c r="C560" s="323"/>
      <c r="D560" s="148">
        <v>1.2</v>
      </c>
      <c r="E560" s="148">
        <v>0.15</v>
      </c>
      <c r="F560" s="148">
        <v>7</v>
      </c>
      <c r="G560" s="148">
        <v>4</v>
      </c>
      <c r="H560" s="148"/>
      <c r="I560" s="148"/>
      <c r="J560" s="170">
        <f t="shared" si="24"/>
        <v>5.04</v>
      </c>
      <c r="K560" s="10"/>
      <c r="L560" s="10"/>
      <c r="M560" s="10"/>
      <c r="N560" s="10"/>
      <c r="O560" s="10"/>
      <c r="P560" s="10"/>
      <c r="Q560" s="10"/>
      <c r="R560" s="10"/>
      <c r="S560" s="10"/>
      <c r="T560" s="10"/>
      <c r="U560" s="10"/>
      <c r="V560" s="10"/>
      <c r="W560" s="10"/>
      <c r="X560" s="10"/>
      <c r="Y560" s="10"/>
    </row>
    <row r="561" spans="1:25" ht="16.5" customHeight="1" x14ac:dyDescent="0.2">
      <c r="A561" s="324"/>
      <c r="B561" s="325"/>
      <c r="C561" s="326"/>
      <c r="D561" s="148">
        <v>1.8</v>
      </c>
      <c r="E561" s="148">
        <v>0.15</v>
      </c>
      <c r="F561" s="148">
        <v>7</v>
      </c>
      <c r="G561" s="148">
        <v>1</v>
      </c>
      <c r="H561" s="148"/>
      <c r="I561" s="148"/>
      <c r="J561" s="170">
        <f t="shared" si="24"/>
        <v>1.8900000000000001</v>
      </c>
      <c r="K561" s="10"/>
      <c r="L561" s="10"/>
      <c r="M561" s="10"/>
      <c r="N561" s="10"/>
      <c r="O561" s="10"/>
      <c r="P561" s="10"/>
      <c r="Q561" s="10"/>
      <c r="R561" s="10"/>
      <c r="S561" s="10"/>
      <c r="T561" s="10"/>
      <c r="U561" s="10"/>
      <c r="V561" s="10"/>
      <c r="W561" s="10"/>
      <c r="X561" s="10"/>
      <c r="Y561" s="10"/>
    </row>
    <row r="562" spans="1:25" ht="16.5" customHeight="1" x14ac:dyDescent="0.2">
      <c r="A562" s="321" t="s">
        <v>682</v>
      </c>
      <c r="B562" s="322"/>
      <c r="C562" s="323"/>
      <c r="D562" s="148">
        <v>1.2</v>
      </c>
      <c r="E562" s="148">
        <v>0.15</v>
      </c>
      <c r="F562" s="148">
        <v>7</v>
      </c>
      <c r="G562" s="148">
        <v>4</v>
      </c>
      <c r="H562" s="148"/>
      <c r="I562" s="148"/>
      <c r="J562" s="170">
        <f t="shared" si="24"/>
        <v>5.04</v>
      </c>
      <c r="K562" s="10"/>
      <c r="L562" s="10"/>
      <c r="M562" s="10"/>
      <c r="N562" s="10"/>
      <c r="O562" s="10"/>
      <c r="P562" s="10"/>
      <c r="Q562" s="10"/>
      <c r="R562" s="10"/>
      <c r="S562" s="10"/>
      <c r="T562" s="10"/>
      <c r="U562" s="10"/>
      <c r="V562" s="10"/>
      <c r="W562" s="10"/>
      <c r="X562" s="10"/>
      <c r="Y562" s="10"/>
    </row>
    <row r="563" spans="1:25" ht="16.5" customHeight="1" x14ac:dyDescent="0.2">
      <c r="A563" s="324"/>
      <c r="B563" s="325"/>
      <c r="C563" s="326"/>
      <c r="D563" s="148">
        <v>1.8</v>
      </c>
      <c r="E563" s="148">
        <v>0.15</v>
      </c>
      <c r="F563" s="148">
        <v>7</v>
      </c>
      <c r="G563" s="148">
        <v>1</v>
      </c>
      <c r="H563" s="148"/>
      <c r="I563" s="148"/>
      <c r="J563" s="170">
        <f t="shared" si="24"/>
        <v>1.8900000000000001</v>
      </c>
      <c r="K563" s="10"/>
      <c r="L563" s="10"/>
      <c r="M563" s="10"/>
      <c r="N563" s="10"/>
      <c r="O563" s="10"/>
      <c r="P563" s="10"/>
      <c r="Q563" s="10"/>
      <c r="R563" s="10"/>
      <c r="S563" s="10"/>
      <c r="T563" s="10"/>
      <c r="U563" s="10"/>
      <c r="V563" s="10"/>
      <c r="W563" s="10"/>
      <c r="X563" s="10"/>
      <c r="Y563" s="10"/>
    </row>
    <row r="564" spans="1:25" ht="16.5" customHeight="1" x14ac:dyDescent="0.2">
      <c r="A564" s="321" t="s">
        <v>683</v>
      </c>
      <c r="B564" s="322"/>
      <c r="C564" s="323"/>
      <c r="D564" s="148">
        <v>1.2</v>
      </c>
      <c r="E564" s="148">
        <v>0.15</v>
      </c>
      <c r="F564" s="148">
        <v>7</v>
      </c>
      <c r="G564" s="148">
        <v>4</v>
      </c>
      <c r="H564" s="148"/>
      <c r="I564" s="148"/>
      <c r="J564" s="170">
        <f t="shared" si="24"/>
        <v>5.04</v>
      </c>
      <c r="K564" s="10"/>
      <c r="L564" s="10"/>
      <c r="M564" s="10"/>
      <c r="N564" s="10"/>
      <c r="O564" s="10"/>
      <c r="P564" s="10"/>
      <c r="Q564" s="10"/>
      <c r="R564" s="10"/>
      <c r="S564" s="10"/>
      <c r="T564" s="10"/>
      <c r="U564" s="10"/>
      <c r="V564" s="10"/>
      <c r="W564" s="10"/>
      <c r="X564" s="10"/>
      <c r="Y564" s="10"/>
    </row>
    <row r="565" spans="1:25" ht="16.5" customHeight="1" x14ac:dyDescent="0.2">
      <c r="A565" s="324"/>
      <c r="B565" s="325"/>
      <c r="C565" s="326"/>
      <c r="D565" s="148">
        <v>1.8</v>
      </c>
      <c r="E565" s="148">
        <v>0.15</v>
      </c>
      <c r="F565" s="148">
        <v>7</v>
      </c>
      <c r="G565" s="148">
        <v>1</v>
      </c>
      <c r="H565" s="148"/>
      <c r="I565" s="148"/>
      <c r="J565" s="170">
        <f t="shared" si="24"/>
        <v>1.8900000000000001</v>
      </c>
      <c r="K565" s="10"/>
      <c r="L565" s="10"/>
      <c r="M565" s="10"/>
      <c r="N565" s="10"/>
      <c r="O565" s="10"/>
      <c r="P565" s="10"/>
      <c r="Q565" s="10"/>
      <c r="R565" s="10"/>
      <c r="S565" s="10"/>
      <c r="T565" s="10"/>
      <c r="U565" s="10"/>
      <c r="V565" s="10"/>
      <c r="W565" s="10"/>
      <c r="X565" s="10"/>
      <c r="Y565" s="10"/>
    </row>
    <row r="566" spans="1:25" ht="16.5" customHeight="1" x14ac:dyDescent="0.2">
      <c r="A566" s="321" t="s">
        <v>684</v>
      </c>
      <c r="B566" s="322"/>
      <c r="C566" s="323"/>
      <c r="D566" s="148">
        <v>1.2</v>
      </c>
      <c r="E566" s="148">
        <v>0.15</v>
      </c>
      <c r="F566" s="148">
        <v>7</v>
      </c>
      <c r="G566" s="148">
        <v>4</v>
      </c>
      <c r="H566" s="148"/>
      <c r="I566" s="148"/>
      <c r="J566" s="170">
        <f t="shared" si="24"/>
        <v>5.04</v>
      </c>
      <c r="K566" s="10"/>
      <c r="L566" s="10"/>
      <c r="M566" s="10"/>
      <c r="N566" s="10"/>
      <c r="O566" s="10"/>
      <c r="P566" s="10"/>
      <c r="Q566" s="10"/>
      <c r="R566" s="10"/>
      <c r="S566" s="10"/>
      <c r="T566" s="10"/>
      <c r="U566" s="10"/>
      <c r="V566" s="10"/>
      <c r="W566" s="10"/>
      <c r="X566" s="10"/>
      <c r="Y566" s="10"/>
    </row>
    <row r="567" spans="1:25" ht="16.5" customHeight="1" x14ac:dyDescent="0.2">
      <c r="A567" s="324"/>
      <c r="B567" s="325"/>
      <c r="C567" s="326"/>
      <c r="D567" s="148">
        <v>1.8</v>
      </c>
      <c r="E567" s="148">
        <v>0.15</v>
      </c>
      <c r="F567" s="148">
        <v>7</v>
      </c>
      <c r="G567" s="148">
        <v>1</v>
      </c>
      <c r="H567" s="148"/>
      <c r="I567" s="148"/>
      <c r="J567" s="170">
        <f t="shared" si="24"/>
        <v>1.8900000000000001</v>
      </c>
      <c r="K567" s="10"/>
      <c r="L567" s="10"/>
      <c r="M567" s="10"/>
      <c r="N567" s="10"/>
      <c r="O567" s="10"/>
      <c r="P567" s="10"/>
      <c r="Q567" s="10"/>
      <c r="R567" s="10"/>
      <c r="S567" s="10"/>
      <c r="T567" s="10"/>
      <c r="U567" s="10"/>
      <c r="V567" s="10"/>
      <c r="W567" s="10"/>
      <c r="X567" s="10"/>
      <c r="Y567" s="10"/>
    </row>
    <row r="568" spans="1:25" ht="16.5" customHeight="1" x14ac:dyDescent="0.2">
      <c r="A568" s="321" t="s">
        <v>685</v>
      </c>
      <c r="B568" s="322"/>
      <c r="C568" s="323"/>
      <c r="D568" s="148">
        <v>1.2</v>
      </c>
      <c r="E568" s="148">
        <v>0.15</v>
      </c>
      <c r="F568" s="148">
        <v>7</v>
      </c>
      <c r="G568" s="148">
        <v>4</v>
      </c>
      <c r="H568" s="148"/>
      <c r="I568" s="148"/>
      <c r="J568" s="170">
        <f t="shared" si="24"/>
        <v>5.04</v>
      </c>
      <c r="K568" s="10"/>
      <c r="L568" s="10"/>
      <c r="M568" s="10"/>
      <c r="N568" s="10"/>
      <c r="O568" s="10"/>
      <c r="P568" s="10"/>
      <c r="Q568" s="10"/>
      <c r="R568" s="10"/>
      <c r="S568" s="10"/>
      <c r="T568" s="10"/>
      <c r="U568" s="10"/>
      <c r="V568" s="10"/>
      <c r="W568" s="10"/>
      <c r="X568" s="10"/>
      <c r="Y568" s="10"/>
    </row>
    <row r="569" spans="1:25" ht="16.5" customHeight="1" x14ac:dyDescent="0.2">
      <c r="A569" s="324"/>
      <c r="B569" s="325"/>
      <c r="C569" s="326"/>
      <c r="D569" s="148">
        <v>1.8</v>
      </c>
      <c r="E569" s="148">
        <v>0.15</v>
      </c>
      <c r="F569" s="148">
        <v>7</v>
      </c>
      <c r="G569" s="148">
        <v>1</v>
      </c>
      <c r="H569" s="148"/>
      <c r="I569" s="148"/>
      <c r="J569" s="170">
        <f t="shared" si="24"/>
        <v>1.8900000000000001</v>
      </c>
      <c r="K569" s="10"/>
      <c r="L569" s="10"/>
      <c r="M569" s="10"/>
      <c r="N569" s="10"/>
      <c r="O569" s="10"/>
      <c r="P569" s="10"/>
      <c r="Q569" s="10"/>
      <c r="R569" s="10"/>
      <c r="S569" s="10"/>
      <c r="T569" s="10"/>
      <c r="U569" s="10"/>
      <c r="V569" s="10"/>
      <c r="W569" s="10"/>
      <c r="X569" s="10"/>
      <c r="Y569" s="10"/>
    </row>
    <row r="570" spans="1:25" ht="16.5" customHeight="1" x14ac:dyDescent="0.2">
      <c r="A570" s="321" t="s">
        <v>687</v>
      </c>
      <c r="B570" s="322"/>
      <c r="C570" s="323"/>
      <c r="D570" s="148">
        <v>1.2</v>
      </c>
      <c r="E570" s="148">
        <v>0.15</v>
      </c>
      <c r="F570" s="148">
        <v>7</v>
      </c>
      <c r="G570" s="148">
        <v>4</v>
      </c>
      <c r="H570" s="148"/>
      <c r="I570" s="148"/>
      <c r="J570" s="170">
        <f t="shared" si="24"/>
        <v>5.04</v>
      </c>
      <c r="K570" s="10"/>
      <c r="L570" s="10"/>
      <c r="M570" s="10"/>
      <c r="N570" s="10"/>
      <c r="O570" s="10"/>
      <c r="P570" s="10"/>
      <c r="Q570" s="10"/>
      <c r="R570" s="10"/>
      <c r="S570" s="10"/>
      <c r="T570" s="10"/>
      <c r="U570" s="10"/>
      <c r="V570" s="10"/>
      <c r="W570" s="10"/>
      <c r="X570" s="10"/>
      <c r="Y570" s="10"/>
    </row>
    <row r="571" spans="1:25" ht="16.5" customHeight="1" x14ac:dyDescent="0.2">
      <c r="A571" s="324"/>
      <c r="B571" s="325"/>
      <c r="C571" s="326"/>
      <c r="D571" s="148">
        <v>1.8</v>
      </c>
      <c r="E571" s="148">
        <v>0.15</v>
      </c>
      <c r="F571" s="148">
        <v>7</v>
      </c>
      <c r="G571" s="148">
        <v>1</v>
      </c>
      <c r="H571" s="148"/>
      <c r="I571" s="148"/>
      <c r="J571" s="170">
        <f t="shared" si="24"/>
        <v>1.8900000000000001</v>
      </c>
      <c r="K571" s="10"/>
      <c r="L571" s="10"/>
      <c r="M571" s="10"/>
      <c r="N571" s="10"/>
      <c r="O571" s="10"/>
      <c r="P571" s="10"/>
      <c r="Q571" s="10"/>
      <c r="R571" s="10"/>
      <c r="S571" s="10"/>
      <c r="T571" s="10"/>
      <c r="U571" s="10"/>
      <c r="V571" s="10"/>
      <c r="W571" s="10"/>
      <c r="X571" s="10"/>
      <c r="Y571" s="10"/>
    </row>
    <row r="572" spans="1:25" ht="16.5" customHeight="1" x14ac:dyDescent="0.2">
      <c r="A572" s="321" t="s">
        <v>776</v>
      </c>
      <c r="B572" s="322"/>
      <c r="C572" s="323"/>
      <c r="D572" s="148">
        <v>0.8</v>
      </c>
      <c r="E572" s="148">
        <v>0.15</v>
      </c>
      <c r="F572" s="148">
        <v>7</v>
      </c>
      <c r="G572" s="148">
        <v>3</v>
      </c>
      <c r="H572" s="148"/>
      <c r="I572" s="148"/>
      <c r="J572" s="170">
        <f t="shared" si="24"/>
        <v>2.52</v>
      </c>
      <c r="K572" s="10"/>
      <c r="L572" s="10"/>
      <c r="M572" s="10"/>
      <c r="N572" s="10"/>
      <c r="O572" s="10"/>
      <c r="P572" s="10"/>
      <c r="Q572" s="10"/>
      <c r="R572" s="10"/>
      <c r="S572" s="10"/>
      <c r="T572" s="10"/>
      <c r="U572" s="10"/>
      <c r="V572" s="10"/>
      <c r="W572" s="10"/>
      <c r="X572" s="10"/>
      <c r="Y572" s="10"/>
    </row>
    <row r="573" spans="1:25" ht="16.5" customHeight="1" x14ac:dyDescent="0.2">
      <c r="A573" s="324"/>
      <c r="B573" s="325"/>
      <c r="C573" s="326"/>
      <c r="D573" s="148">
        <v>0.6</v>
      </c>
      <c r="E573" s="148">
        <v>0.15</v>
      </c>
      <c r="F573" s="148">
        <v>7</v>
      </c>
      <c r="G573" s="148">
        <v>8</v>
      </c>
      <c r="H573" s="148"/>
      <c r="I573" s="148"/>
      <c r="J573" s="170">
        <f t="shared" si="24"/>
        <v>5.04</v>
      </c>
      <c r="K573" s="10"/>
      <c r="L573" s="10"/>
      <c r="M573" s="10"/>
      <c r="N573" s="10"/>
      <c r="O573" s="10"/>
      <c r="P573" s="10"/>
      <c r="Q573" s="10"/>
      <c r="R573" s="10"/>
      <c r="S573" s="10"/>
      <c r="T573" s="10"/>
      <c r="U573" s="10"/>
      <c r="V573" s="10"/>
      <c r="W573" s="10"/>
      <c r="X573" s="10"/>
      <c r="Y573" s="10"/>
    </row>
    <row r="574" spans="1:25" ht="16.5" customHeight="1" x14ac:dyDescent="0.2">
      <c r="A574" s="342" t="str">
        <f>"TOTAL - "&amp;'Planilha orçamentária'!F54</f>
        <v>TOTAL - M2</v>
      </c>
      <c r="B574" s="342"/>
      <c r="C574" s="342"/>
      <c r="D574" s="342"/>
      <c r="E574" s="342"/>
      <c r="F574" s="342"/>
      <c r="G574" s="342"/>
      <c r="H574" s="342"/>
      <c r="I574" s="342"/>
      <c r="J574" s="149">
        <f>SUM(J540:J573)</f>
        <v>118.44000000000004</v>
      </c>
      <c r="K574" s="10"/>
      <c r="L574" s="10"/>
      <c r="M574" s="10"/>
      <c r="N574" s="10"/>
      <c r="O574" s="10"/>
      <c r="P574" s="10"/>
      <c r="Q574" s="10"/>
      <c r="R574" s="10"/>
      <c r="S574" s="10"/>
      <c r="T574" s="10"/>
      <c r="U574" s="10"/>
      <c r="V574" s="10"/>
      <c r="W574" s="10"/>
      <c r="X574" s="10"/>
      <c r="Y574" s="10"/>
    </row>
    <row r="575" spans="1:25" ht="16.5" customHeight="1" x14ac:dyDescent="0.2">
      <c r="A575" s="184" t="str">
        <f>'Planilha orçamentária'!A55</f>
        <v>8.8</v>
      </c>
      <c r="B575" s="343" t="str">
        <f>'Planilha orçamentária'!D55</f>
        <v>Chapisco com argamassa, traço 1:3 (cimento e areia), esp. 5mm, aplicado em alvenaria/estrutura de concreto com colher, preparo mecânico</v>
      </c>
      <c r="C575" s="344"/>
      <c r="D575" s="344"/>
      <c r="E575" s="344"/>
      <c r="F575" s="344"/>
      <c r="G575" s="344"/>
      <c r="H575" s="344"/>
      <c r="I575" s="344"/>
      <c r="J575" s="344"/>
      <c r="K575" s="10"/>
      <c r="L575" s="10"/>
      <c r="M575" s="10"/>
      <c r="N575" s="10"/>
      <c r="O575" s="10"/>
      <c r="P575" s="10"/>
      <c r="Q575" s="10"/>
      <c r="R575" s="10"/>
      <c r="S575" s="10"/>
      <c r="T575" s="10"/>
      <c r="U575" s="10"/>
      <c r="V575" s="10"/>
      <c r="W575" s="10"/>
      <c r="X575" s="10"/>
      <c r="Y575" s="10"/>
    </row>
    <row r="576" spans="1:25" ht="16.5" customHeight="1" x14ac:dyDescent="0.2">
      <c r="A576" s="327" t="s">
        <v>120</v>
      </c>
      <c r="B576" s="328"/>
      <c r="C576" s="328"/>
      <c r="D576" s="182" t="s">
        <v>121</v>
      </c>
      <c r="E576" s="182" t="s">
        <v>122</v>
      </c>
      <c r="F576" s="181" t="s">
        <v>123</v>
      </c>
      <c r="G576" s="181" t="s">
        <v>124</v>
      </c>
      <c r="H576" s="181" t="s">
        <v>125</v>
      </c>
      <c r="I576" s="182" t="s">
        <v>126</v>
      </c>
      <c r="J576" s="182" t="s">
        <v>113</v>
      </c>
      <c r="K576" s="10"/>
      <c r="L576" s="10"/>
      <c r="M576" s="10"/>
      <c r="N576" s="10"/>
      <c r="O576" s="10"/>
      <c r="P576" s="10"/>
      <c r="Q576" s="10"/>
      <c r="R576" s="10"/>
      <c r="S576" s="10"/>
      <c r="T576" s="10"/>
      <c r="U576" s="10"/>
      <c r="V576" s="10"/>
      <c r="W576" s="10"/>
      <c r="X576" s="10"/>
      <c r="Y576" s="10"/>
    </row>
    <row r="577" spans="1:25" ht="16.5" customHeight="1" x14ac:dyDescent="0.2">
      <c r="A577" s="331" t="s">
        <v>671</v>
      </c>
      <c r="B577" s="331"/>
      <c r="C577" s="33" t="s">
        <v>312</v>
      </c>
      <c r="D577" s="148">
        <f>1.52+1.35+0.96+0.97+0.96+1.52+2.32</f>
        <v>9.6</v>
      </c>
      <c r="E577" s="148"/>
      <c r="F577" s="148">
        <f>2.9-0.12</f>
        <v>2.78</v>
      </c>
      <c r="G577" s="148">
        <v>7</v>
      </c>
      <c r="H577" s="148"/>
      <c r="I577" s="148">
        <f>(0.7*2.1+1.2*0.6)*7</f>
        <v>15.33</v>
      </c>
      <c r="J577" s="170">
        <f t="shared" ref="J577:J614" si="25">PRODUCT(D577:H577)-I577</f>
        <v>171.48599999999999</v>
      </c>
      <c r="K577" s="10"/>
      <c r="L577" s="10"/>
      <c r="M577" s="10"/>
      <c r="N577" s="10"/>
      <c r="O577" s="10"/>
      <c r="P577" s="10"/>
      <c r="Q577" s="10"/>
      <c r="R577" s="10"/>
      <c r="S577" s="10"/>
      <c r="T577" s="10"/>
      <c r="U577" s="10"/>
      <c r="V577" s="10"/>
      <c r="W577" s="10"/>
      <c r="X577" s="10"/>
      <c r="Y577" s="10"/>
    </row>
    <row r="578" spans="1:25" ht="16.5" customHeight="1" x14ac:dyDescent="0.2">
      <c r="A578" s="331"/>
      <c r="B578" s="331"/>
      <c r="C578" s="33" t="s">
        <v>313</v>
      </c>
      <c r="D578" s="148">
        <f>0.72+2.57+2.48+1.52+0.7+0.16+0.95+1.05</f>
        <v>10.149999999999999</v>
      </c>
      <c r="E578" s="148"/>
      <c r="F578" s="148">
        <f t="shared" ref="F578:F608" si="26">2.9-0.12</f>
        <v>2.78</v>
      </c>
      <c r="G578" s="148">
        <v>7</v>
      </c>
      <c r="H578" s="148"/>
      <c r="I578" s="148">
        <f>1.2*1.2*7</f>
        <v>10.08</v>
      </c>
      <c r="J578" s="170">
        <f t="shared" si="25"/>
        <v>187.43899999999996</v>
      </c>
      <c r="K578" s="10"/>
      <c r="L578" s="10"/>
      <c r="M578" s="10"/>
      <c r="N578" s="10"/>
      <c r="O578" s="10"/>
      <c r="P578" s="10"/>
      <c r="Q578" s="10"/>
      <c r="R578" s="10"/>
      <c r="S578" s="10"/>
      <c r="T578" s="10"/>
      <c r="U578" s="10"/>
      <c r="V578" s="10"/>
      <c r="W578" s="10"/>
      <c r="X578" s="10"/>
      <c r="Y578" s="10"/>
    </row>
    <row r="579" spans="1:25" ht="16.5" customHeight="1" x14ac:dyDescent="0.2">
      <c r="A579" s="331" t="s">
        <v>672</v>
      </c>
      <c r="B579" s="331"/>
      <c r="C579" s="33" t="s">
        <v>312</v>
      </c>
      <c r="D579" s="148">
        <f>1.52+1.35+0.96+0.97+0.96+1.52+2.32</f>
        <v>9.6</v>
      </c>
      <c r="E579" s="148"/>
      <c r="F579" s="148">
        <f t="shared" si="26"/>
        <v>2.78</v>
      </c>
      <c r="G579" s="148">
        <v>7</v>
      </c>
      <c r="H579" s="148"/>
      <c r="I579" s="148">
        <f>(0.7*2.1+1.2*0.6)*7</f>
        <v>15.33</v>
      </c>
      <c r="J579" s="170">
        <f t="shared" si="25"/>
        <v>171.48599999999999</v>
      </c>
      <c r="K579" s="10"/>
      <c r="L579" s="10"/>
      <c r="M579" s="10"/>
      <c r="N579" s="10"/>
      <c r="O579" s="10"/>
      <c r="P579" s="10"/>
      <c r="Q579" s="10"/>
      <c r="R579" s="10"/>
      <c r="S579" s="10"/>
      <c r="T579" s="10"/>
      <c r="U579" s="10"/>
      <c r="V579" s="10"/>
      <c r="W579" s="10"/>
      <c r="X579" s="10"/>
      <c r="Y579" s="10"/>
    </row>
    <row r="580" spans="1:25" ht="16.5" customHeight="1" x14ac:dyDescent="0.2">
      <c r="A580" s="331"/>
      <c r="B580" s="331"/>
      <c r="C580" s="33" t="s">
        <v>313</v>
      </c>
      <c r="D580" s="148">
        <f>0.72+2.57+2.48+1.52+0.7+0.16+0.95+1.05</f>
        <v>10.149999999999999</v>
      </c>
      <c r="E580" s="148"/>
      <c r="F580" s="148">
        <f t="shared" si="26"/>
        <v>2.78</v>
      </c>
      <c r="G580" s="148">
        <v>7</v>
      </c>
      <c r="H580" s="148"/>
      <c r="I580" s="148">
        <f>1.2*1.2*7</f>
        <v>10.08</v>
      </c>
      <c r="J580" s="170">
        <f t="shared" si="25"/>
        <v>187.43899999999996</v>
      </c>
      <c r="K580" s="10"/>
      <c r="L580" s="10"/>
      <c r="M580" s="10"/>
      <c r="N580" s="10"/>
      <c r="O580" s="10"/>
      <c r="P580" s="10"/>
      <c r="Q580" s="10"/>
      <c r="R580" s="10"/>
      <c r="S580" s="10"/>
      <c r="T580" s="10"/>
      <c r="U580" s="10"/>
      <c r="V580" s="10"/>
      <c r="W580" s="10"/>
      <c r="X580" s="10"/>
      <c r="Y580" s="10"/>
    </row>
    <row r="581" spans="1:25" ht="16.5" customHeight="1" x14ac:dyDescent="0.2">
      <c r="A581" s="331" t="s">
        <v>673</v>
      </c>
      <c r="B581" s="331"/>
      <c r="C581" s="33" t="s">
        <v>312</v>
      </c>
      <c r="D581" s="148">
        <f>1.52+1.35+0.96+0.97+0.96+1.52+2.32</f>
        <v>9.6</v>
      </c>
      <c r="E581" s="148"/>
      <c r="F581" s="148">
        <f t="shared" si="26"/>
        <v>2.78</v>
      </c>
      <c r="G581" s="148">
        <v>7</v>
      </c>
      <c r="H581" s="148"/>
      <c r="I581" s="148">
        <f>(0.8*2.1+1.2*0.6)*7</f>
        <v>16.800000000000004</v>
      </c>
      <c r="J581" s="170">
        <f t="shared" si="25"/>
        <v>170.01599999999999</v>
      </c>
      <c r="K581" s="10"/>
      <c r="L581" s="10"/>
      <c r="M581" s="10"/>
      <c r="N581" s="10"/>
      <c r="O581" s="10"/>
      <c r="P581" s="10"/>
      <c r="Q581" s="10"/>
      <c r="R581" s="10"/>
      <c r="S581" s="10"/>
      <c r="T581" s="10"/>
      <c r="U581" s="10"/>
      <c r="V581" s="10"/>
      <c r="W581" s="10"/>
      <c r="X581" s="10"/>
      <c r="Y581" s="10"/>
    </row>
    <row r="582" spans="1:25" ht="16.5" customHeight="1" x14ac:dyDescent="0.2">
      <c r="A582" s="331"/>
      <c r="B582" s="331"/>
      <c r="C582" s="33" t="s">
        <v>313</v>
      </c>
      <c r="D582" s="148">
        <f>0.72+2.57+2.48+1.52+0.7+0.16+0.95+1.05</f>
        <v>10.149999999999999</v>
      </c>
      <c r="E582" s="148"/>
      <c r="F582" s="148">
        <f t="shared" si="26"/>
        <v>2.78</v>
      </c>
      <c r="G582" s="148">
        <v>7</v>
      </c>
      <c r="H582" s="148"/>
      <c r="I582" s="148">
        <f>1.2*1.2*7</f>
        <v>10.08</v>
      </c>
      <c r="J582" s="170">
        <f t="shared" si="25"/>
        <v>187.43899999999996</v>
      </c>
      <c r="K582" s="10"/>
      <c r="L582" s="10"/>
      <c r="M582" s="10"/>
      <c r="N582" s="10"/>
      <c r="O582" s="10"/>
      <c r="P582" s="10"/>
      <c r="Q582" s="10"/>
      <c r="R582" s="10"/>
      <c r="S582" s="10"/>
      <c r="T582" s="10"/>
      <c r="U582" s="10"/>
      <c r="V582" s="10"/>
      <c r="W582" s="10"/>
      <c r="X582" s="10"/>
      <c r="Y582" s="10"/>
    </row>
    <row r="583" spans="1:25" ht="16.5" customHeight="1" x14ac:dyDescent="0.2">
      <c r="A583" s="331" t="s">
        <v>674</v>
      </c>
      <c r="B583" s="331"/>
      <c r="C583" s="33" t="s">
        <v>312</v>
      </c>
      <c r="D583" s="148">
        <f>1.52+1.35+0.96+0.97+0.96+1.52+2.32</f>
        <v>9.6</v>
      </c>
      <c r="E583" s="148"/>
      <c r="F583" s="148">
        <f t="shared" si="26"/>
        <v>2.78</v>
      </c>
      <c r="G583" s="148">
        <v>7</v>
      </c>
      <c r="H583" s="148"/>
      <c r="I583" s="148">
        <f>(0.7*2.1+1.2*0.6)*7</f>
        <v>15.33</v>
      </c>
      <c r="J583" s="170">
        <f t="shared" si="25"/>
        <v>171.48599999999999</v>
      </c>
      <c r="K583" s="10"/>
      <c r="L583" s="10"/>
      <c r="M583" s="10"/>
      <c r="N583" s="10"/>
      <c r="O583" s="10"/>
      <c r="P583" s="10"/>
      <c r="Q583" s="10"/>
      <c r="R583" s="10"/>
      <c r="S583" s="10"/>
      <c r="T583" s="10"/>
      <c r="U583" s="10"/>
      <c r="V583" s="10"/>
      <c r="W583" s="10"/>
      <c r="X583" s="10"/>
      <c r="Y583" s="10"/>
    </row>
    <row r="584" spans="1:25" ht="16.5" customHeight="1" x14ac:dyDescent="0.2">
      <c r="A584" s="331"/>
      <c r="B584" s="331"/>
      <c r="C584" s="33" t="s">
        <v>313</v>
      </c>
      <c r="D584" s="148">
        <f>0.72+2.57+2.48+1.52+0.7+0.16+0.95+1.05</f>
        <v>10.149999999999999</v>
      </c>
      <c r="E584" s="148"/>
      <c r="F584" s="148">
        <f t="shared" si="26"/>
        <v>2.78</v>
      </c>
      <c r="G584" s="148">
        <v>7</v>
      </c>
      <c r="H584" s="148"/>
      <c r="I584" s="148">
        <f>1.2*1.2*7</f>
        <v>10.08</v>
      </c>
      <c r="J584" s="170">
        <f t="shared" si="25"/>
        <v>187.43899999999996</v>
      </c>
      <c r="K584" s="10"/>
      <c r="L584" s="10"/>
      <c r="M584" s="10"/>
      <c r="N584" s="10"/>
      <c r="O584" s="10"/>
      <c r="P584" s="10"/>
      <c r="Q584" s="10"/>
      <c r="R584" s="10"/>
      <c r="S584" s="10"/>
      <c r="T584" s="10"/>
      <c r="U584" s="10"/>
      <c r="V584" s="10"/>
      <c r="W584" s="10"/>
      <c r="X584" s="10"/>
      <c r="Y584" s="10"/>
    </row>
    <row r="585" spans="1:25" ht="16.5" customHeight="1" x14ac:dyDescent="0.2">
      <c r="A585" s="331" t="s">
        <v>675</v>
      </c>
      <c r="B585" s="331"/>
      <c r="C585" s="33" t="s">
        <v>312</v>
      </c>
      <c r="D585" s="148">
        <f>1.52+1.35+0.96+0.97+0.96+1.52+2.32</f>
        <v>9.6</v>
      </c>
      <c r="E585" s="148"/>
      <c r="F585" s="148">
        <f t="shared" si="26"/>
        <v>2.78</v>
      </c>
      <c r="G585" s="148">
        <v>7</v>
      </c>
      <c r="H585" s="148"/>
      <c r="I585" s="148">
        <f>(0.7*2.1+1.2*0.6)*7</f>
        <v>15.33</v>
      </c>
      <c r="J585" s="170">
        <f t="shared" si="25"/>
        <v>171.48599999999999</v>
      </c>
      <c r="K585" s="10"/>
      <c r="L585" s="10"/>
      <c r="M585" s="10"/>
      <c r="N585" s="10"/>
      <c r="O585" s="10"/>
      <c r="P585" s="10"/>
      <c r="Q585" s="10"/>
      <c r="R585" s="10"/>
      <c r="S585" s="10"/>
      <c r="T585" s="10"/>
      <c r="U585" s="10"/>
      <c r="V585" s="10"/>
      <c r="W585" s="10"/>
      <c r="X585" s="10"/>
      <c r="Y585" s="10"/>
    </row>
    <row r="586" spans="1:25" ht="16.5" customHeight="1" x14ac:dyDescent="0.2">
      <c r="A586" s="331"/>
      <c r="B586" s="331"/>
      <c r="C586" s="33" t="s">
        <v>313</v>
      </c>
      <c r="D586" s="148">
        <f>0.72+2.57+2.48+1.52+0.7+0.16+0.95+1.05</f>
        <v>10.149999999999999</v>
      </c>
      <c r="E586" s="148"/>
      <c r="F586" s="148">
        <f t="shared" si="26"/>
        <v>2.78</v>
      </c>
      <c r="G586" s="148">
        <v>7</v>
      </c>
      <c r="H586" s="148"/>
      <c r="I586" s="148">
        <f>1.2*1.2*7</f>
        <v>10.08</v>
      </c>
      <c r="J586" s="170">
        <f t="shared" si="25"/>
        <v>187.43899999999996</v>
      </c>
      <c r="K586" s="10"/>
      <c r="L586" s="10"/>
      <c r="M586" s="10"/>
      <c r="N586" s="10"/>
      <c r="O586" s="10"/>
      <c r="P586" s="10"/>
      <c r="Q586" s="10"/>
      <c r="R586" s="10"/>
      <c r="S586" s="10"/>
      <c r="T586" s="10"/>
      <c r="U586" s="10"/>
      <c r="V586" s="10"/>
      <c r="W586" s="10"/>
      <c r="X586" s="10"/>
      <c r="Y586" s="10"/>
    </row>
    <row r="587" spans="1:25" ht="16.5" customHeight="1" x14ac:dyDescent="0.2">
      <c r="A587" s="331" t="s">
        <v>676</v>
      </c>
      <c r="B587" s="331"/>
      <c r="C587" s="33" t="s">
        <v>312</v>
      </c>
      <c r="D587" s="148">
        <f>1.52+1.35+0.96+0.97+0.96+1.52+2.32</f>
        <v>9.6</v>
      </c>
      <c r="E587" s="148"/>
      <c r="F587" s="148">
        <f t="shared" si="26"/>
        <v>2.78</v>
      </c>
      <c r="G587" s="148">
        <v>7</v>
      </c>
      <c r="H587" s="148"/>
      <c r="I587" s="148">
        <f>(0.7*2.1+1.2*0.6)*7</f>
        <v>15.33</v>
      </c>
      <c r="J587" s="170">
        <f t="shared" si="25"/>
        <v>171.48599999999999</v>
      </c>
      <c r="K587" s="10"/>
      <c r="L587" s="10"/>
      <c r="M587" s="10"/>
      <c r="N587" s="10"/>
      <c r="O587" s="10"/>
      <c r="P587" s="10"/>
      <c r="Q587" s="10"/>
      <c r="R587" s="10"/>
      <c r="S587" s="10"/>
      <c r="T587" s="10"/>
      <c r="U587" s="10"/>
      <c r="V587" s="10"/>
      <c r="W587" s="10"/>
      <c r="X587" s="10"/>
      <c r="Y587" s="10"/>
    </row>
    <row r="588" spans="1:25" ht="16.5" customHeight="1" x14ac:dyDescent="0.2">
      <c r="A588" s="331"/>
      <c r="B588" s="331"/>
      <c r="C588" s="33" t="s">
        <v>313</v>
      </c>
      <c r="D588" s="148">
        <f>0.72+2.57+2.48+1.52+0.7+0.16+0.95+1.05</f>
        <v>10.149999999999999</v>
      </c>
      <c r="E588" s="148"/>
      <c r="F588" s="148">
        <f t="shared" si="26"/>
        <v>2.78</v>
      </c>
      <c r="G588" s="148">
        <v>7</v>
      </c>
      <c r="H588" s="148"/>
      <c r="I588" s="148">
        <f>1.2*1.2*7</f>
        <v>10.08</v>
      </c>
      <c r="J588" s="170">
        <f t="shared" si="25"/>
        <v>187.43899999999996</v>
      </c>
      <c r="K588" s="10"/>
      <c r="L588" s="10"/>
      <c r="M588" s="10"/>
      <c r="N588" s="10"/>
      <c r="O588" s="10"/>
      <c r="P588" s="10"/>
      <c r="Q588" s="10"/>
      <c r="R588" s="10"/>
      <c r="S588" s="10"/>
      <c r="T588" s="10"/>
      <c r="U588" s="10"/>
      <c r="V588" s="10"/>
      <c r="W588" s="10"/>
      <c r="X588" s="10"/>
      <c r="Y588" s="10"/>
    </row>
    <row r="589" spans="1:25" ht="16.5" customHeight="1" x14ac:dyDescent="0.2">
      <c r="A589" s="331" t="s">
        <v>677</v>
      </c>
      <c r="B589" s="331"/>
      <c r="C589" s="33" t="s">
        <v>312</v>
      </c>
      <c r="D589" s="148">
        <f>1.52+1.35+0.96+0.97+0.96+1.52+2.32</f>
        <v>9.6</v>
      </c>
      <c r="E589" s="148"/>
      <c r="F589" s="148">
        <f t="shared" si="26"/>
        <v>2.78</v>
      </c>
      <c r="G589" s="148">
        <v>7</v>
      </c>
      <c r="H589" s="148"/>
      <c r="I589" s="148">
        <f>(0.7*2.1+1.2*0.6)*7</f>
        <v>15.33</v>
      </c>
      <c r="J589" s="170">
        <f t="shared" si="25"/>
        <v>171.48599999999999</v>
      </c>
      <c r="K589" s="10"/>
      <c r="L589" s="10"/>
      <c r="M589" s="10"/>
      <c r="N589" s="10"/>
      <c r="O589" s="10"/>
      <c r="P589" s="10"/>
      <c r="Q589" s="10"/>
      <c r="R589" s="10"/>
      <c r="S589" s="10"/>
      <c r="T589" s="10"/>
      <c r="U589" s="10"/>
      <c r="V589" s="10"/>
      <c r="W589" s="10"/>
      <c r="X589" s="10"/>
      <c r="Y589" s="10"/>
    </row>
    <row r="590" spans="1:25" ht="16.5" customHeight="1" x14ac:dyDescent="0.2">
      <c r="A590" s="331"/>
      <c r="B590" s="331"/>
      <c r="C590" s="33" t="s">
        <v>313</v>
      </c>
      <c r="D590" s="148">
        <f>0.72+2.57+2.48+1.52+0.7+0.16+0.95+1.05</f>
        <v>10.149999999999999</v>
      </c>
      <c r="E590" s="148"/>
      <c r="F590" s="148">
        <f t="shared" si="26"/>
        <v>2.78</v>
      </c>
      <c r="G590" s="148">
        <v>7</v>
      </c>
      <c r="H590" s="148"/>
      <c r="I590" s="148">
        <f>1.2*1.2*7</f>
        <v>10.08</v>
      </c>
      <c r="J590" s="170">
        <f t="shared" si="25"/>
        <v>187.43899999999996</v>
      </c>
      <c r="K590" s="10"/>
      <c r="L590" s="10"/>
      <c r="M590" s="10"/>
      <c r="N590" s="10"/>
      <c r="O590" s="10"/>
      <c r="P590" s="10"/>
      <c r="Q590" s="10"/>
      <c r="R590" s="10"/>
      <c r="S590" s="10"/>
      <c r="T590" s="10"/>
      <c r="U590" s="10"/>
      <c r="V590" s="10"/>
      <c r="W590" s="10"/>
      <c r="X590" s="10"/>
      <c r="Y590" s="10"/>
    </row>
    <row r="591" spans="1:25" ht="16.5" customHeight="1" x14ac:dyDescent="0.2">
      <c r="A591" s="331" t="s">
        <v>678</v>
      </c>
      <c r="B591" s="331"/>
      <c r="C591" s="33" t="s">
        <v>312</v>
      </c>
      <c r="D591" s="148">
        <f>1.52+1.35+0.96+0.97+0.96+1.52+2.32</f>
        <v>9.6</v>
      </c>
      <c r="E591" s="148"/>
      <c r="F591" s="148">
        <f t="shared" si="26"/>
        <v>2.78</v>
      </c>
      <c r="G591" s="148">
        <v>7</v>
      </c>
      <c r="H591" s="148"/>
      <c r="I591" s="148">
        <f>(0.7*2.1+1.2*0.6)*7</f>
        <v>15.33</v>
      </c>
      <c r="J591" s="170">
        <f t="shared" si="25"/>
        <v>171.48599999999999</v>
      </c>
      <c r="K591" s="10"/>
      <c r="L591" s="10"/>
      <c r="M591" s="10"/>
      <c r="N591" s="10"/>
      <c r="O591" s="10"/>
      <c r="P591" s="10"/>
      <c r="Q591" s="10"/>
      <c r="R591" s="10"/>
      <c r="S591" s="10"/>
      <c r="T591" s="10"/>
      <c r="U591" s="10"/>
      <c r="V591" s="10"/>
      <c r="W591" s="10"/>
      <c r="X591" s="10"/>
      <c r="Y591" s="10"/>
    </row>
    <row r="592" spans="1:25" ht="16.5" customHeight="1" x14ac:dyDescent="0.2">
      <c r="A592" s="331"/>
      <c r="B592" s="331"/>
      <c r="C592" s="33" t="s">
        <v>313</v>
      </c>
      <c r="D592" s="148">
        <f>0.72+2.57+2.48+1.52+0.7+0.16+0.95+1.05</f>
        <v>10.149999999999999</v>
      </c>
      <c r="E592" s="148"/>
      <c r="F592" s="148">
        <f t="shared" si="26"/>
        <v>2.78</v>
      </c>
      <c r="G592" s="148">
        <v>7</v>
      </c>
      <c r="H592" s="148"/>
      <c r="I592" s="148">
        <f>1.2*1.2*7</f>
        <v>10.08</v>
      </c>
      <c r="J592" s="170">
        <f t="shared" si="25"/>
        <v>187.43899999999996</v>
      </c>
      <c r="K592" s="10"/>
      <c r="L592" s="10"/>
      <c r="M592" s="10"/>
      <c r="N592" s="10"/>
      <c r="O592" s="10"/>
      <c r="P592" s="10"/>
      <c r="Q592" s="10"/>
      <c r="R592" s="10"/>
      <c r="S592" s="10"/>
      <c r="T592" s="10"/>
      <c r="U592" s="10"/>
      <c r="V592" s="10"/>
      <c r="W592" s="10"/>
      <c r="X592" s="10"/>
      <c r="Y592" s="10"/>
    </row>
    <row r="593" spans="1:25" ht="16.5" customHeight="1" x14ac:dyDescent="0.2">
      <c r="A593" s="331" t="s">
        <v>679</v>
      </c>
      <c r="B593" s="331"/>
      <c r="C593" s="33" t="s">
        <v>312</v>
      </c>
      <c r="D593" s="148">
        <f>1.52+1.35+0.96+0.97+0.96+1.52+2.32</f>
        <v>9.6</v>
      </c>
      <c r="E593" s="148"/>
      <c r="F593" s="148">
        <f t="shared" si="26"/>
        <v>2.78</v>
      </c>
      <c r="G593" s="148">
        <v>7</v>
      </c>
      <c r="H593" s="148"/>
      <c r="I593" s="148">
        <f>(0.7*2.1+1.2*0.6)*7</f>
        <v>15.33</v>
      </c>
      <c r="J593" s="170">
        <f t="shared" si="25"/>
        <v>171.48599999999999</v>
      </c>
      <c r="K593" s="10"/>
      <c r="L593" s="10"/>
      <c r="M593" s="10"/>
      <c r="N593" s="10"/>
      <c r="O593" s="10"/>
      <c r="P593" s="10"/>
      <c r="Q593" s="10"/>
      <c r="R593" s="10"/>
      <c r="S593" s="10"/>
      <c r="T593" s="10"/>
      <c r="U593" s="10"/>
      <c r="V593" s="10"/>
      <c r="W593" s="10"/>
      <c r="X593" s="10"/>
      <c r="Y593" s="10"/>
    </row>
    <row r="594" spans="1:25" ht="16.5" customHeight="1" x14ac:dyDescent="0.2">
      <c r="A594" s="331"/>
      <c r="B594" s="331"/>
      <c r="C594" s="33" t="s">
        <v>313</v>
      </c>
      <c r="D594" s="148">
        <f>0.72+2.57+2.48+1.52+0.7+0.16+0.95+1.05</f>
        <v>10.149999999999999</v>
      </c>
      <c r="E594" s="148"/>
      <c r="F594" s="148">
        <f t="shared" si="26"/>
        <v>2.78</v>
      </c>
      <c r="G594" s="148">
        <v>7</v>
      </c>
      <c r="H594" s="148"/>
      <c r="I594" s="148">
        <f>1.2*1.2*7</f>
        <v>10.08</v>
      </c>
      <c r="J594" s="170">
        <f t="shared" si="25"/>
        <v>187.43899999999996</v>
      </c>
      <c r="K594" s="10"/>
      <c r="L594" s="10"/>
      <c r="M594" s="10"/>
      <c r="N594" s="10"/>
      <c r="O594" s="10"/>
      <c r="P594" s="10"/>
      <c r="Q594" s="10"/>
      <c r="R594" s="10"/>
      <c r="S594" s="10"/>
      <c r="T594" s="10"/>
      <c r="U594" s="10"/>
      <c r="V594" s="10"/>
      <c r="W594" s="10"/>
      <c r="X594" s="10"/>
      <c r="Y594" s="10"/>
    </row>
    <row r="595" spans="1:25" ht="16.5" customHeight="1" x14ac:dyDescent="0.2">
      <c r="A595" s="331" t="s">
        <v>769</v>
      </c>
      <c r="B595" s="331"/>
      <c r="C595" s="33" t="s">
        <v>312</v>
      </c>
      <c r="D595" s="148">
        <f>1.52+1.35+0.96+0.97+0.96+1.52+2.32</f>
        <v>9.6</v>
      </c>
      <c r="E595" s="148"/>
      <c r="F595" s="148">
        <f t="shared" si="26"/>
        <v>2.78</v>
      </c>
      <c r="G595" s="148">
        <v>7</v>
      </c>
      <c r="H595" s="148"/>
      <c r="I595" s="148">
        <f>(0.7*2.1+1.2*0.6)*7</f>
        <v>15.33</v>
      </c>
      <c r="J595" s="170">
        <f t="shared" si="25"/>
        <v>171.48599999999999</v>
      </c>
      <c r="K595" s="10"/>
      <c r="L595" s="10"/>
      <c r="M595" s="10"/>
      <c r="N595" s="10"/>
      <c r="O595" s="10"/>
      <c r="P595" s="10"/>
      <c r="Q595" s="10"/>
      <c r="R595" s="10"/>
      <c r="S595" s="10"/>
      <c r="T595" s="10"/>
      <c r="U595" s="10"/>
      <c r="V595" s="10"/>
      <c r="W595" s="10"/>
      <c r="X595" s="10"/>
      <c r="Y595" s="10"/>
    </row>
    <row r="596" spans="1:25" ht="16.5" customHeight="1" x14ac:dyDescent="0.2">
      <c r="A596" s="331"/>
      <c r="B596" s="331"/>
      <c r="C596" s="33" t="s">
        <v>313</v>
      </c>
      <c r="D596" s="148">
        <f>0.72+2.57+2.48+1.52+0.7+0.16+0.95+1.05</f>
        <v>10.149999999999999</v>
      </c>
      <c r="E596" s="148"/>
      <c r="F596" s="148">
        <f t="shared" si="26"/>
        <v>2.78</v>
      </c>
      <c r="G596" s="148">
        <v>7</v>
      </c>
      <c r="H596" s="148"/>
      <c r="I596" s="148">
        <f>1.2*1.2*7</f>
        <v>10.08</v>
      </c>
      <c r="J596" s="170">
        <f t="shared" si="25"/>
        <v>187.43899999999996</v>
      </c>
      <c r="K596" s="10"/>
      <c r="L596" s="10"/>
      <c r="M596" s="10"/>
      <c r="N596" s="10"/>
      <c r="O596" s="10"/>
      <c r="P596" s="10"/>
      <c r="Q596" s="10"/>
      <c r="R596" s="10"/>
      <c r="S596" s="10"/>
      <c r="T596" s="10"/>
      <c r="U596" s="10"/>
      <c r="V596" s="10"/>
      <c r="W596" s="10"/>
      <c r="X596" s="10"/>
      <c r="Y596" s="10"/>
    </row>
    <row r="597" spans="1:25" ht="16.5" customHeight="1" x14ac:dyDescent="0.2">
      <c r="A597" s="331" t="s">
        <v>681</v>
      </c>
      <c r="B597" s="331"/>
      <c r="C597" s="33" t="s">
        <v>312</v>
      </c>
      <c r="D597" s="148">
        <f>1.52+1.35+0.96+0.97+0.96+1.52+2.32</f>
        <v>9.6</v>
      </c>
      <c r="E597" s="148"/>
      <c r="F597" s="148">
        <f t="shared" si="26"/>
        <v>2.78</v>
      </c>
      <c r="G597" s="148">
        <v>7</v>
      </c>
      <c r="H597" s="148"/>
      <c r="I597" s="148">
        <f>(0.7*2.1+1.2*0.6)*7</f>
        <v>15.33</v>
      </c>
      <c r="J597" s="170">
        <f t="shared" si="25"/>
        <v>171.48599999999999</v>
      </c>
      <c r="K597" s="10"/>
      <c r="L597" s="10"/>
      <c r="M597" s="10"/>
      <c r="N597" s="10"/>
      <c r="O597" s="10"/>
      <c r="P597" s="10"/>
      <c r="Q597" s="10"/>
      <c r="R597" s="10"/>
      <c r="S597" s="10"/>
      <c r="T597" s="10"/>
      <c r="U597" s="10"/>
      <c r="V597" s="10"/>
      <c r="W597" s="10"/>
      <c r="X597" s="10"/>
      <c r="Y597" s="10"/>
    </row>
    <row r="598" spans="1:25" ht="16.5" customHeight="1" x14ac:dyDescent="0.2">
      <c r="A598" s="331"/>
      <c r="B598" s="331"/>
      <c r="C598" s="33" t="s">
        <v>313</v>
      </c>
      <c r="D598" s="148">
        <f>0.72+2.57+2.48+1.52+0.7+0.16+0.95+1.05</f>
        <v>10.149999999999999</v>
      </c>
      <c r="E598" s="148"/>
      <c r="F598" s="148">
        <f t="shared" si="26"/>
        <v>2.78</v>
      </c>
      <c r="G598" s="148">
        <v>7</v>
      </c>
      <c r="H598" s="148"/>
      <c r="I598" s="148">
        <f>1.2*1.2*7</f>
        <v>10.08</v>
      </c>
      <c r="J598" s="170">
        <f t="shared" si="25"/>
        <v>187.43899999999996</v>
      </c>
      <c r="K598" s="10"/>
      <c r="L598" s="10"/>
      <c r="M598" s="10"/>
      <c r="N598" s="10"/>
      <c r="O598" s="10"/>
      <c r="P598" s="10"/>
      <c r="Q598" s="10"/>
      <c r="R598" s="10"/>
      <c r="S598" s="10"/>
      <c r="T598" s="10"/>
      <c r="U598" s="10"/>
      <c r="V598" s="10"/>
      <c r="W598" s="10"/>
      <c r="X598" s="10"/>
      <c r="Y598" s="10"/>
    </row>
    <row r="599" spans="1:25" ht="16.5" customHeight="1" x14ac:dyDescent="0.2">
      <c r="A599" s="331" t="s">
        <v>682</v>
      </c>
      <c r="B599" s="331"/>
      <c r="C599" s="33" t="s">
        <v>312</v>
      </c>
      <c r="D599" s="148">
        <f>1.52+1.35+0.96+0.97+0.96+1.52+2.32</f>
        <v>9.6</v>
      </c>
      <c r="E599" s="148"/>
      <c r="F599" s="148">
        <f t="shared" si="26"/>
        <v>2.78</v>
      </c>
      <c r="G599" s="148">
        <v>7</v>
      </c>
      <c r="H599" s="148"/>
      <c r="I599" s="148">
        <f>(0.7*2.1+1.2*0.6)*7</f>
        <v>15.33</v>
      </c>
      <c r="J599" s="170">
        <f t="shared" si="25"/>
        <v>171.48599999999999</v>
      </c>
      <c r="K599" s="10"/>
      <c r="L599" s="10"/>
      <c r="M599" s="10"/>
      <c r="N599" s="10"/>
      <c r="O599" s="10"/>
      <c r="P599" s="10"/>
      <c r="Q599" s="10"/>
      <c r="R599" s="10"/>
      <c r="S599" s="10"/>
      <c r="T599" s="10"/>
      <c r="U599" s="10"/>
      <c r="V599" s="10"/>
      <c r="W599" s="10"/>
      <c r="X599" s="10"/>
      <c r="Y599" s="10"/>
    </row>
    <row r="600" spans="1:25" ht="16.5" customHeight="1" x14ac:dyDescent="0.2">
      <c r="A600" s="331"/>
      <c r="B600" s="331"/>
      <c r="C600" s="33" t="s">
        <v>313</v>
      </c>
      <c r="D600" s="148">
        <f>0.72+2.57+2.48+1.52+0.7+0.16+0.95+1.05</f>
        <v>10.149999999999999</v>
      </c>
      <c r="E600" s="148"/>
      <c r="F600" s="148">
        <f t="shared" si="26"/>
        <v>2.78</v>
      </c>
      <c r="G600" s="148">
        <v>7</v>
      </c>
      <c r="H600" s="148"/>
      <c r="I600" s="148">
        <f>1.2*1.2*7</f>
        <v>10.08</v>
      </c>
      <c r="J600" s="170">
        <f t="shared" si="25"/>
        <v>187.43899999999996</v>
      </c>
      <c r="K600" s="10"/>
      <c r="L600" s="10"/>
      <c r="M600" s="10"/>
      <c r="N600" s="10"/>
      <c r="O600" s="10"/>
      <c r="P600" s="10"/>
      <c r="Q600" s="10"/>
      <c r="R600" s="10"/>
      <c r="S600" s="10"/>
      <c r="T600" s="10"/>
      <c r="U600" s="10"/>
      <c r="V600" s="10"/>
      <c r="W600" s="10"/>
      <c r="X600" s="10"/>
      <c r="Y600" s="10"/>
    </row>
    <row r="601" spans="1:25" ht="16.5" customHeight="1" x14ac:dyDescent="0.2">
      <c r="A601" s="331" t="s">
        <v>683</v>
      </c>
      <c r="B601" s="331"/>
      <c r="C601" s="33" t="s">
        <v>312</v>
      </c>
      <c r="D601" s="148">
        <f>1.52+1.35+0.96+0.97+0.96+1.52+2.32</f>
        <v>9.6</v>
      </c>
      <c r="E601" s="148"/>
      <c r="F601" s="148">
        <f t="shared" si="26"/>
        <v>2.78</v>
      </c>
      <c r="G601" s="148">
        <v>7</v>
      </c>
      <c r="H601" s="148"/>
      <c r="I601" s="148">
        <f>(0.7*2.1+1.2*0.6)*7</f>
        <v>15.33</v>
      </c>
      <c r="J601" s="170">
        <f t="shared" si="25"/>
        <v>171.48599999999999</v>
      </c>
      <c r="K601" s="10"/>
      <c r="L601" s="10"/>
      <c r="M601" s="10"/>
      <c r="N601" s="10"/>
      <c r="O601" s="10"/>
      <c r="P601" s="10"/>
      <c r="Q601" s="10"/>
      <c r="R601" s="10"/>
      <c r="S601" s="10"/>
      <c r="T601" s="10"/>
      <c r="U601" s="10"/>
      <c r="V601" s="10"/>
      <c r="W601" s="10"/>
      <c r="X601" s="10"/>
      <c r="Y601" s="10"/>
    </row>
    <row r="602" spans="1:25" ht="16.5" customHeight="1" x14ac:dyDescent="0.2">
      <c r="A602" s="331"/>
      <c r="B602" s="331"/>
      <c r="C602" s="33" t="s">
        <v>313</v>
      </c>
      <c r="D602" s="148">
        <f>0.72+2.57+2.48+1.52+0.7+0.16+0.95+1.05</f>
        <v>10.149999999999999</v>
      </c>
      <c r="E602" s="148"/>
      <c r="F602" s="148">
        <f t="shared" si="26"/>
        <v>2.78</v>
      </c>
      <c r="G602" s="148">
        <v>7</v>
      </c>
      <c r="H602" s="148"/>
      <c r="I602" s="148">
        <f>1.2*1.2*7</f>
        <v>10.08</v>
      </c>
      <c r="J602" s="170">
        <f t="shared" si="25"/>
        <v>187.43899999999996</v>
      </c>
      <c r="K602" s="10"/>
      <c r="L602" s="10"/>
      <c r="M602" s="10"/>
      <c r="N602" s="10"/>
      <c r="O602" s="10"/>
      <c r="P602" s="10"/>
      <c r="Q602" s="10"/>
      <c r="R602" s="10"/>
      <c r="S602" s="10"/>
      <c r="T602" s="10"/>
      <c r="U602" s="10"/>
      <c r="V602" s="10"/>
      <c r="W602" s="10"/>
      <c r="X602" s="10"/>
      <c r="Y602" s="10"/>
    </row>
    <row r="603" spans="1:25" ht="16.5" customHeight="1" x14ac:dyDescent="0.2">
      <c r="A603" s="331" t="s">
        <v>684</v>
      </c>
      <c r="B603" s="331"/>
      <c r="C603" s="33" t="s">
        <v>312</v>
      </c>
      <c r="D603" s="148">
        <f>1.52+1.35+0.96+0.97+0.96+1.52+2.32</f>
        <v>9.6</v>
      </c>
      <c r="E603" s="148"/>
      <c r="F603" s="148">
        <f t="shared" si="26"/>
        <v>2.78</v>
      </c>
      <c r="G603" s="148">
        <v>7</v>
      </c>
      <c r="H603" s="148"/>
      <c r="I603" s="148">
        <f>(0.7*2.1+1.2*0.6)*7</f>
        <v>15.33</v>
      </c>
      <c r="J603" s="170">
        <f t="shared" si="25"/>
        <v>171.48599999999999</v>
      </c>
      <c r="K603" s="10"/>
      <c r="L603" s="10"/>
      <c r="M603" s="10"/>
      <c r="N603" s="10"/>
      <c r="O603" s="10"/>
      <c r="P603" s="10"/>
      <c r="Q603" s="10"/>
      <c r="R603" s="10"/>
      <c r="S603" s="10"/>
      <c r="T603" s="10"/>
      <c r="U603" s="10"/>
      <c r="V603" s="10"/>
      <c r="W603" s="10"/>
      <c r="X603" s="10"/>
      <c r="Y603" s="10"/>
    </row>
    <row r="604" spans="1:25" ht="16.5" customHeight="1" x14ac:dyDescent="0.2">
      <c r="A604" s="331"/>
      <c r="B604" s="331"/>
      <c r="C604" s="33" t="s">
        <v>313</v>
      </c>
      <c r="D604" s="148">
        <f>0.72+2.57+2.48+1.52+0.7+0.16+0.95+1.05</f>
        <v>10.149999999999999</v>
      </c>
      <c r="E604" s="148"/>
      <c r="F604" s="148">
        <f t="shared" si="26"/>
        <v>2.78</v>
      </c>
      <c r="G604" s="148">
        <v>7</v>
      </c>
      <c r="H604" s="148"/>
      <c r="I604" s="148">
        <f>1.2*1.2*7</f>
        <v>10.08</v>
      </c>
      <c r="J604" s="170">
        <f t="shared" si="25"/>
        <v>187.43899999999996</v>
      </c>
      <c r="K604" s="10"/>
      <c r="L604" s="10"/>
      <c r="M604" s="10"/>
      <c r="N604" s="10"/>
      <c r="O604" s="10"/>
      <c r="P604" s="10"/>
      <c r="Q604" s="10"/>
      <c r="R604" s="10"/>
      <c r="S604" s="10"/>
      <c r="T604" s="10"/>
      <c r="U604" s="10"/>
      <c r="V604" s="10"/>
      <c r="W604" s="10"/>
      <c r="X604" s="10"/>
      <c r="Y604" s="10"/>
    </row>
    <row r="605" spans="1:25" ht="16.5" customHeight="1" x14ac:dyDescent="0.2">
      <c r="A605" s="331" t="s">
        <v>685</v>
      </c>
      <c r="B605" s="331"/>
      <c r="C605" s="33" t="s">
        <v>312</v>
      </c>
      <c r="D605" s="148">
        <f>1.52+1.35+0.96+0.97+0.96+1.52+2.32</f>
        <v>9.6</v>
      </c>
      <c r="E605" s="148"/>
      <c r="F605" s="148">
        <f t="shared" si="26"/>
        <v>2.78</v>
      </c>
      <c r="G605" s="148">
        <v>7</v>
      </c>
      <c r="H605" s="148"/>
      <c r="I605" s="148">
        <f>(0.7*2.1+1.2*0.6)*7</f>
        <v>15.33</v>
      </c>
      <c r="J605" s="170">
        <f t="shared" si="25"/>
        <v>171.48599999999999</v>
      </c>
      <c r="K605" s="10"/>
      <c r="L605" s="10"/>
      <c r="M605" s="10"/>
      <c r="N605" s="10"/>
      <c r="O605" s="10"/>
      <c r="P605" s="10"/>
      <c r="Q605" s="10"/>
      <c r="R605" s="10"/>
      <c r="S605" s="10"/>
      <c r="T605" s="10"/>
      <c r="U605" s="10"/>
      <c r="V605" s="10"/>
      <c r="W605" s="10"/>
      <c r="X605" s="10"/>
      <c r="Y605" s="10"/>
    </row>
    <row r="606" spans="1:25" ht="16.5" customHeight="1" x14ac:dyDescent="0.2">
      <c r="A606" s="331"/>
      <c r="B606" s="331"/>
      <c r="C606" s="33" t="s">
        <v>313</v>
      </c>
      <c r="D606" s="148">
        <f>0.72+2.57+2.48+1.52+0.7+0.16+0.95+1.05</f>
        <v>10.149999999999999</v>
      </c>
      <c r="E606" s="148"/>
      <c r="F606" s="148">
        <f t="shared" si="26"/>
        <v>2.78</v>
      </c>
      <c r="G606" s="148">
        <v>7</v>
      </c>
      <c r="H606" s="148"/>
      <c r="I606" s="148">
        <f>1.2*1.2*7</f>
        <v>10.08</v>
      </c>
      <c r="J606" s="170">
        <f t="shared" si="25"/>
        <v>187.43899999999996</v>
      </c>
      <c r="K606" s="10"/>
      <c r="L606" s="10"/>
      <c r="M606" s="10"/>
      <c r="N606" s="10"/>
      <c r="O606" s="10"/>
      <c r="P606" s="10"/>
      <c r="Q606" s="10"/>
      <c r="R606" s="10"/>
      <c r="S606" s="10"/>
      <c r="T606" s="10"/>
      <c r="U606" s="10"/>
      <c r="V606" s="10"/>
      <c r="W606" s="10"/>
      <c r="X606" s="10"/>
      <c r="Y606" s="10"/>
    </row>
    <row r="607" spans="1:25" ht="16.5" customHeight="1" x14ac:dyDescent="0.2">
      <c r="A607" s="331" t="s">
        <v>686</v>
      </c>
      <c r="B607" s="331"/>
      <c r="C607" s="33" t="s">
        <v>312</v>
      </c>
      <c r="D607" s="148">
        <f>1.52+1.35+0.96+0.97+0.96+1.52+2.32</f>
        <v>9.6</v>
      </c>
      <c r="E607" s="148"/>
      <c r="F607" s="148">
        <f t="shared" si="26"/>
        <v>2.78</v>
      </c>
      <c r="G607" s="148">
        <v>7</v>
      </c>
      <c r="H607" s="148"/>
      <c r="I607" s="148">
        <f>(0.7*2.1+1.2*0.6)*7</f>
        <v>15.33</v>
      </c>
      <c r="J607" s="170">
        <f t="shared" si="25"/>
        <v>171.48599999999999</v>
      </c>
      <c r="K607" s="10"/>
      <c r="L607" s="10"/>
      <c r="M607" s="10"/>
      <c r="N607" s="10"/>
      <c r="O607" s="10"/>
      <c r="P607" s="10"/>
      <c r="Q607" s="10"/>
      <c r="R607" s="10"/>
      <c r="S607" s="10"/>
      <c r="T607" s="10"/>
      <c r="U607" s="10"/>
      <c r="V607" s="10"/>
      <c r="W607" s="10"/>
      <c r="X607" s="10"/>
      <c r="Y607" s="10"/>
    </row>
    <row r="608" spans="1:25" ht="16.5" customHeight="1" x14ac:dyDescent="0.2">
      <c r="A608" s="331"/>
      <c r="B608" s="331"/>
      <c r="C608" s="33" t="s">
        <v>313</v>
      </c>
      <c r="D608" s="148">
        <f>0.72+2.57+2.48+1.52+0.7+0.16+0.95+1.05</f>
        <v>10.149999999999999</v>
      </c>
      <c r="E608" s="148"/>
      <c r="F608" s="148">
        <f t="shared" si="26"/>
        <v>2.78</v>
      </c>
      <c r="G608" s="148">
        <v>7</v>
      </c>
      <c r="H608" s="148"/>
      <c r="I608" s="148">
        <f>1.2*1.2*7</f>
        <v>10.08</v>
      </c>
      <c r="J608" s="170">
        <f t="shared" si="25"/>
        <v>187.43899999999996</v>
      </c>
      <c r="K608" s="10"/>
      <c r="L608" s="10"/>
      <c r="M608" s="10"/>
      <c r="N608" s="10"/>
      <c r="O608" s="10"/>
      <c r="P608" s="10"/>
      <c r="Q608" s="10"/>
      <c r="R608" s="10"/>
      <c r="S608" s="10"/>
      <c r="T608" s="10"/>
      <c r="U608" s="10"/>
      <c r="V608" s="10"/>
      <c r="W608" s="10"/>
      <c r="X608" s="10"/>
      <c r="Y608" s="10"/>
    </row>
    <row r="609" spans="1:25" s="31" customFormat="1" ht="16.5" customHeight="1" x14ac:dyDescent="0.2">
      <c r="A609" s="318" t="s">
        <v>777</v>
      </c>
      <c r="B609" s="319"/>
      <c r="C609" s="332"/>
      <c r="D609" s="148">
        <f>4.44+4.44</f>
        <v>8.8800000000000008</v>
      </c>
      <c r="E609" s="148"/>
      <c r="F609" s="148">
        <v>1.8</v>
      </c>
      <c r="G609" s="148">
        <v>7</v>
      </c>
      <c r="H609" s="170"/>
      <c r="I609" s="148"/>
      <c r="J609" s="170">
        <f t="shared" si="25"/>
        <v>111.88800000000001</v>
      </c>
      <c r="K609" s="150"/>
      <c r="L609" s="150"/>
      <c r="M609" s="150"/>
      <c r="N609" s="150"/>
      <c r="O609" s="150"/>
      <c r="P609" s="150"/>
      <c r="Q609" s="150"/>
      <c r="R609" s="150"/>
      <c r="S609" s="150"/>
      <c r="T609" s="150"/>
      <c r="U609" s="150"/>
      <c r="V609" s="150"/>
      <c r="W609" s="150"/>
      <c r="X609" s="150"/>
      <c r="Y609" s="150"/>
    </row>
    <row r="610" spans="1:25" s="31" customFormat="1" ht="16.5" customHeight="1" x14ac:dyDescent="0.2">
      <c r="A610" s="318" t="s">
        <v>779</v>
      </c>
      <c r="B610" s="319"/>
      <c r="C610" s="332"/>
      <c r="D610" s="148">
        <f>4.63*2</f>
        <v>9.26</v>
      </c>
      <c r="E610" s="148"/>
      <c r="F610" s="148">
        <v>1.8</v>
      </c>
      <c r="G610" s="148">
        <v>7</v>
      </c>
      <c r="H610" s="170"/>
      <c r="I610" s="148"/>
      <c r="J610" s="170">
        <f t="shared" si="25"/>
        <v>116.67599999999999</v>
      </c>
      <c r="K610" s="150"/>
      <c r="L610" s="150"/>
      <c r="M610" s="150"/>
      <c r="N610" s="150"/>
      <c r="O610" s="150"/>
      <c r="P610" s="150"/>
      <c r="Q610" s="150"/>
      <c r="R610" s="150"/>
      <c r="S610" s="150"/>
      <c r="T610" s="150"/>
      <c r="U610" s="150"/>
      <c r="V610" s="150"/>
      <c r="W610" s="150"/>
      <c r="X610" s="150"/>
      <c r="Y610" s="150"/>
    </row>
    <row r="611" spans="1:25" s="31" customFormat="1" ht="16.5" customHeight="1" x14ac:dyDescent="0.2">
      <c r="A611" s="318" t="s">
        <v>778</v>
      </c>
      <c r="B611" s="319"/>
      <c r="C611" s="332"/>
      <c r="D611" s="148">
        <f>4.74*2</f>
        <v>9.48</v>
      </c>
      <c r="E611" s="148"/>
      <c r="F611" s="148">
        <v>3</v>
      </c>
      <c r="G611" s="148">
        <v>7</v>
      </c>
      <c r="H611" s="148"/>
      <c r="I611" s="148"/>
      <c r="J611" s="170">
        <f t="shared" si="25"/>
        <v>199.08</v>
      </c>
      <c r="K611" s="150"/>
      <c r="L611" s="150"/>
      <c r="M611" s="150"/>
      <c r="N611" s="150"/>
      <c r="O611" s="150"/>
      <c r="P611" s="150"/>
      <c r="Q611" s="150"/>
      <c r="R611" s="150"/>
      <c r="S611" s="150"/>
      <c r="T611" s="150"/>
      <c r="U611" s="150"/>
      <c r="V611" s="150"/>
      <c r="W611" s="150"/>
      <c r="X611" s="150"/>
      <c r="Y611" s="150"/>
    </row>
    <row r="612" spans="1:25" s="31" customFormat="1" ht="16.5" customHeight="1" x14ac:dyDescent="0.2">
      <c r="A612" s="318" t="s">
        <v>780</v>
      </c>
      <c r="B612" s="319"/>
      <c r="C612" s="332"/>
      <c r="D612" s="148">
        <f>4.63+0.3</f>
        <v>4.93</v>
      </c>
      <c r="E612" s="148"/>
      <c r="F612" s="148">
        <v>3</v>
      </c>
      <c r="G612" s="148">
        <v>7</v>
      </c>
      <c r="H612" s="148"/>
      <c r="I612" s="148">
        <f>0.8*0.6*2*7</f>
        <v>6.72</v>
      </c>
      <c r="J612" s="170">
        <f t="shared" si="25"/>
        <v>96.81</v>
      </c>
      <c r="K612" s="150"/>
      <c r="L612" s="150"/>
      <c r="M612" s="150"/>
      <c r="N612" s="150"/>
      <c r="O612" s="150"/>
      <c r="P612" s="150"/>
      <c r="Q612" s="150"/>
      <c r="R612" s="150"/>
      <c r="S612" s="150"/>
      <c r="T612" s="150"/>
      <c r="U612" s="150"/>
      <c r="V612" s="150"/>
      <c r="W612" s="150"/>
      <c r="X612" s="150"/>
      <c r="Y612" s="150"/>
    </row>
    <row r="613" spans="1:25" s="168" customFormat="1" ht="16.5" customHeight="1" x14ac:dyDescent="0.2">
      <c r="A613" s="318" t="s">
        <v>781</v>
      </c>
      <c r="B613" s="319"/>
      <c r="C613" s="332"/>
      <c r="D613" s="148">
        <f>(5.02+5.49+17.09+5.49+7.1)*2</f>
        <v>80.38000000000001</v>
      </c>
      <c r="E613" s="148"/>
      <c r="F613" s="148">
        <v>1.4</v>
      </c>
      <c r="G613" s="148">
        <v>7</v>
      </c>
      <c r="H613" s="148"/>
      <c r="I613" s="148"/>
      <c r="J613" s="170">
        <f t="shared" si="25"/>
        <v>787.72400000000005</v>
      </c>
      <c r="K613" s="167"/>
      <c r="L613" s="167"/>
      <c r="M613" s="167"/>
      <c r="N613" s="167"/>
      <c r="O613" s="167"/>
      <c r="P613" s="167"/>
      <c r="Q613" s="167"/>
      <c r="R613" s="167"/>
      <c r="S613" s="167"/>
      <c r="T613" s="167"/>
      <c r="U613" s="167"/>
      <c r="V613" s="167"/>
      <c r="W613" s="167"/>
      <c r="X613" s="167"/>
      <c r="Y613" s="167"/>
    </row>
    <row r="614" spans="1:25" s="168" customFormat="1" ht="16.5" customHeight="1" x14ac:dyDescent="0.2">
      <c r="A614" s="318" t="s">
        <v>782</v>
      </c>
      <c r="B614" s="319"/>
      <c r="C614" s="332"/>
      <c r="D614" s="148">
        <f>5.49+17.09+5.49+7.1+4.4+7.1+5.49+17.09+5.49+5.02+4.4+5.02</f>
        <v>89.179999999999993</v>
      </c>
      <c r="E614" s="148"/>
      <c r="F614" s="148">
        <v>12.8</v>
      </c>
      <c r="G614" s="148">
        <v>7</v>
      </c>
      <c r="H614" s="148"/>
      <c r="I614" s="148">
        <f>(48*1.2*1.2+16*0.6*1.2+3*0.8*1.6+16*1.8*1.2+8*0.6*1.2)*7</f>
        <v>873.6</v>
      </c>
      <c r="J614" s="170">
        <f t="shared" si="25"/>
        <v>7116.927999999999</v>
      </c>
      <c r="K614" s="167"/>
      <c r="L614" s="167"/>
      <c r="M614" s="167"/>
      <c r="N614" s="167"/>
      <c r="O614" s="167"/>
      <c r="P614" s="167"/>
      <c r="Q614" s="167"/>
      <c r="R614" s="167"/>
      <c r="S614" s="167"/>
      <c r="T614" s="167"/>
      <c r="U614" s="167"/>
      <c r="V614" s="167"/>
      <c r="W614" s="167"/>
      <c r="X614" s="167"/>
      <c r="Y614" s="167"/>
    </row>
    <row r="615" spans="1:25" ht="16.5" customHeight="1" x14ac:dyDescent="0.2">
      <c r="A615" s="342" t="str">
        <f>"TOTAL - "&amp;'Planilha orçamentária'!F55</f>
        <v>TOTAL - M2</v>
      </c>
      <c r="B615" s="342"/>
      <c r="C615" s="342"/>
      <c r="D615" s="342"/>
      <c r="E615" s="342"/>
      <c r="F615" s="342"/>
      <c r="G615" s="342"/>
      <c r="H615" s="342"/>
      <c r="I615" s="342"/>
      <c r="J615" s="149">
        <f>SUM(J577:J614)</f>
        <v>14170.435999999998</v>
      </c>
      <c r="K615" s="10"/>
      <c r="L615" s="10"/>
      <c r="M615" s="10"/>
      <c r="N615" s="10"/>
      <c r="O615" s="10"/>
      <c r="P615" s="10"/>
      <c r="Q615" s="10"/>
      <c r="R615" s="10"/>
      <c r="S615" s="10"/>
      <c r="T615" s="10"/>
      <c r="U615" s="10"/>
      <c r="V615" s="10"/>
      <c r="W615" s="10"/>
      <c r="X615" s="10"/>
      <c r="Y615" s="10"/>
    </row>
    <row r="616" spans="1:25" ht="16.5" customHeight="1" x14ac:dyDescent="0.2">
      <c r="A616" s="184" t="str">
        <f>'Planilha orçamentária'!A56</f>
        <v>8.9</v>
      </c>
      <c r="B616" s="343" t="str">
        <f>'Planilha orçamentária'!D56</f>
        <v>Emboço com argamassa, traço 1:6 (cimento e areia), esp. 20mm, aplicação manual, preparo mecânico</v>
      </c>
      <c r="C616" s="344"/>
      <c r="D616" s="344"/>
      <c r="E616" s="344"/>
      <c r="F616" s="344"/>
      <c r="G616" s="344"/>
      <c r="H616" s="344"/>
      <c r="I616" s="344"/>
      <c r="J616" s="344"/>
      <c r="K616" s="10"/>
      <c r="L616" s="10"/>
      <c r="M616" s="10"/>
      <c r="N616" s="10"/>
      <c r="O616" s="10"/>
      <c r="P616" s="10"/>
      <c r="Q616" s="10"/>
      <c r="R616" s="10"/>
      <c r="S616" s="10"/>
      <c r="T616" s="10"/>
      <c r="U616" s="10"/>
      <c r="V616" s="10"/>
      <c r="W616" s="10"/>
      <c r="X616" s="10"/>
      <c r="Y616" s="10"/>
    </row>
    <row r="617" spans="1:25" ht="25.5" customHeight="1" x14ac:dyDescent="0.2">
      <c r="A617" s="327" t="s">
        <v>120</v>
      </c>
      <c r="B617" s="328"/>
      <c r="C617" s="328"/>
      <c r="D617" s="182" t="s">
        <v>307</v>
      </c>
      <c r="E617" s="182" t="s">
        <v>122</v>
      </c>
      <c r="F617" s="181" t="s">
        <v>123</v>
      </c>
      <c r="G617" s="181" t="s">
        <v>493</v>
      </c>
      <c r="H617" s="181" t="s">
        <v>125</v>
      </c>
      <c r="I617" s="182" t="s">
        <v>126</v>
      </c>
      <c r="J617" s="182" t="s">
        <v>113</v>
      </c>
      <c r="K617" s="10"/>
      <c r="L617" s="10"/>
      <c r="M617" s="10"/>
      <c r="N617" s="10"/>
      <c r="O617" s="10"/>
      <c r="P617" s="10"/>
      <c r="Q617" s="10"/>
      <c r="R617" s="10"/>
      <c r="S617" s="10"/>
      <c r="T617" s="10"/>
      <c r="U617" s="10"/>
      <c r="V617" s="10"/>
      <c r="W617" s="10"/>
      <c r="X617" s="10"/>
      <c r="Y617" s="10"/>
    </row>
    <row r="618" spans="1:25" ht="16.5" customHeight="1" x14ac:dyDescent="0.2">
      <c r="A618" s="331" t="s">
        <v>671</v>
      </c>
      <c r="B618" s="331"/>
      <c r="C618" s="33" t="s">
        <v>312</v>
      </c>
      <c r="D618" s="148">
        <f>1.52+1.35+0.96+0.97+0.96+1.52+2.32</f>
        <v>9.6</v>
      </c>
      <c r="E618" s="148"/>
      <c r="F618" s="148">
        <f>2.9-0.12</f>
        <v>2.78</v>
      </c>
      <c r="G618" s="148">
        <v>7</v>
      </c>
      <c r="H618" s="148"/>
      <c r="I618" s="148">
        <f>(0.7*2.1+1.2*0.6)*7</f>
        <v>15.33</v>
      </c>
      <c r="J618" s="170">
        <f t="shared" ref="J618:J649" si="27">PRODUCT(D618:H618)-I618</f>
        <v>171.48599999999999</v>
      </c>
      <c r="K618" s="10"/>
      <c r="L618" s="10"/>
      <c r="M618" s="10"/>
      <c r="N618" s="10"/>
      <c r="O618" s="10"/>
      <c r="P618" s="10"/>
      <c r="Q618" s="10"/>
      <c r="R618" s="10"/>
      <c r="S618" s="10"/>
      <c r="T618" s="10"/>
      <c r="U618" s="10"/>
      <c r="V618" s="10"/>
      <c r="W618" s="10"/>
      <c r="X618" s="10"/>
      <c r="Y618" s="10"/>
    </row>
    <row r="619" spans="1:25" ht="16.5" customHeight="1" x14ac:dyDescent="0.2">
      <c r="A619" s="331"/>
      <c r="B619" s="331"/>
      <c r="C619" s="33" t="s">
        <v>313</v>
      </c>
      <c r="D619" s="148">
        <f>0.72+2.57+2.48+1.52+0.7+0.16+0.95+1.05</f>
        <v>10.149999999999999</v>
      </c>
      <c r="E619" s="148"/>
      <c r="F619" s="148">
        <f t="shared" ref="F619:F649" si="28">2.9-0.12</f>
        <v>2.78</v>
      </c>
      <c r="G619" s="148">
        <v>7</v>
      </c>
      <c r="H619" s="148"/>
      <c r="I619" s="148">
        <f>1.2*1.2*7</f>
        <v>10.08</v>
      </c>
      <c r="J619" s="170">
        <f t="shared" si="27"/>
        <v>187.43899999999996</v>
      </c>
      <c r="K619" s="10"/>
      <c r="L619" s="10"/>
      <c r="M619" s="10"/>
      <c r="N619" s="10"/>
      <c r="O619" s="10"/>
      <c r="P619" s="10"/>
      <c r="Q619" s="10"/>
      <c r="R619" s="10"/>
      <c r="S619" s="10"/>
      <c r="T619" s="10"/>
      <c r="U619" s="10"/>
      <c r="V619" s="10"/>
      <c r="W619" s="10"/>
      <c r="X619" s="10"/>
      <c r="Y619" s="10"/>
    </row>
    <row r="620" spans="1:25" ht="16.5" customHeight="1" x14ac:dyDescent="0.2">
      <c r="A620" s="331" t="s">
        <v>672</v>
      </c>
      <c r="B620" s="331"/>
      <c r="C620" s="33" t="s">
        <v>312</v>
      </c>
      <c r="D620" s="148">
        <f>1.52+1.35+0.96+0.97+0.96+1.52+2.32</f>
        <v>9.6</v>
      </c>
      <c r="E620" s="148"/>
      <c r="F620" s="148">
        <f t="shared" si="28"/>
        <v>2.78</v>
      </c>
      <c r="G620" s="148">
        <v>7</v>
      </c>
      <c r="H620" s="148"/>
      <c r="I620" s="148">
        <f>(0.7*2.1+1.2*0.6)*7</f>
        <v>15.33</v>
      </c>
      <c r="J620" s="170">
        <f t="shared" si="27"/>
        <v>171.48599999999999</v>
      </c>
      <c r="K620" s="10"/>
      <c r="L620" s="10"/>
      <c r="M620" s="10"/>
      <c r="N620" s="10"/>
      <c r="O620" s="10"/>
      <c r="P620" s="10"/>
      <c r="Q620" s="10"/>
      <c r="R620" s="10"/>
      <c r="S620" s="10"/>
      <c r="T620" s="10"/>
      <c r="U620" s="10"/>
      <c r="V620" s="10"/>
      <c r="W620" s="10"/>
      <c r="X620" s="10"/>
      <c r="Y620" s="10"/>
    </row>
    <row r="621" spans="1:25" ht="16.5" customHeight="1" x14ac:dyDescent="0.2">
      <c r="A621" s="331"/>
      <c r="B621" s="331"/>
      <c r="C621" s="33" t="s">
        <v>313</v>
      </c>
      <c r="D621" s="148">
        <f>0.72+2.57+2.48+1.52+0.7+0.16+0.95+1.05</f>
        <v>10.149999999999999</v>
      </c>
      <c r="E621" s="148"/>
      <c r="F621" s="148">
        <f t="shared" si="28"/>
        <v>2.78</v>
      </c>
      <c r="G621" s="148">
        <v>7</v>
      </c>
      <c r="H621" s="148"/>
      <c r="I621" s="148">
        <f>1.2*1.2*7</f>
        <v>10.08</v>
      </c>
      <c r="J621" s="170">
        <f t="shared" si="27"/>
        <v>187.43899999999996</v>
      </c>
      <c r="K621" s="10"/>
      <c r="L621" s="10"/>
      <c r="M621" s="10"/>
      <c r="N621" s="10"/>
      <c r="O621" s="10"/>
      <c r="P621" s="10"/>
      <c r="Q621" s="10"/>
      <c r="R621" s="10"/>
      <c r="S621" s="10"/>
      <c r="T621" s="10"/>
      <c r="U621" s="10"/>
      <c r="V621" s="10"/>
      <c r="W621" s="10"/>
      <c r="X621" s="10"/>
      <c r="Y621" s="10"/>
    </row>
    <row r="622" spans="1:25" ht="16.5" customHeight="1" x14ac:dyDescent="0.2">
      <c r="A622" s="331" t="s">
        <v>673</v>
      </c>
      <c r="B622" s="331"/>
      <c r="C622" s="33" t="s">
        <v>312</v>
      </c>
      <c r="D622" s="148">
        <f>1.52+1.35+0.96+0.97+0.96+1.52+2.32</f>
        <v>9.6</v>
      </c>
      <c r="E622" s="148"/>
      <c r="F622" s="148">
        <f t="shared" si="28"/>
        <v>2.78</v>
      </c>
      <c r="G622" s="148">
        <v>7</v>
      </c>
      <c r="H622" s="148"/>
      <c r="I622" s="148">
        <f>(0.8*2.1+1.2*0.6)*7</f>
        <v>16.800000000000004</v>
      </c>
      <c r="J622" s="170">
        <f t="shared" si="27"/>
        <v>170.01599999999999</v>
      </c>
      <c r="K622" s="10"/>
      <c r="L622" s="10"/>
      <c r="M622" s="10"/>
      <c r="N622" s="10"/>
      <c r="O622" s="10"/>
      <c r="P622" s="10"/>
      <c r="Q622" s="10"/>
      <c r="R622" s="10"/>
      <c r="S622" s="10"/>
      <c r="T622" s="10"/>
      <c r="U622" s="10"/>
      <c r="V622" s="10"/>
      <c r="W622" s="10"/>
      <c r="X622" s="10"/>
      <c r="Y622" s="10"/>
    </row>
    <row r="623" spans="1:25" ht="16.5" customHeight="1" x14ac:dyDescent="0.2">
      <c r="A623" s="331"/>
      <c r="B623" s="331"/>
      <c r="C623" s="33" t="s">
        <v>313</v>
      </c>
      <c r="D623" s="148">
        <f>0.72+2.57+2.48+1.52+0.7+0.16+0.95+1.05</f>
        <v>10.149999999999999</v>
      </c>
      <c r="E623" s="148"/>
      <c r="F623" s="148">
        <f t="shared" si="28"/>
        <v>2.78</v>
      </c>
      <c r="G623" s="148">
        <v>7</v>
      </c>
      <c r="H623" s="148"/>
      <c r="I623" s="148">
        <f>1.2*1.2*7</f>
        <v>10.08</v>
      </c>
      <c r="J623" s="170">
        <f t="shared" si="27"/>
        <v>187.43899999999996</v>
      </c>
      <c r="K623" s="10"/>
      <c r="L623" s="10"/>
      <c r="M623" s="10"/>
      <c r="N623" s="10"/>
      <c r="O623" s="10"/>
      <c r="P623" s="10"/>
      <c r="Q623" s="10"/>
      <c r="R623" s="10"/>
      <c r="S623" s="10"/>
      <c r="T623" s="10"/>
      <c r="U623" s="10"/>
      <c r="V623" s="10"/>
      <c r="W623" s="10"/>
      <c r="X623" s="10"/>
      <c r="Y623" s="10"/>
    </row>
    <row r="624" spans="1:25" ht="16.5" customHeight="1" x14ac:dyDescent="0.2">
      <c r="A624" s="331" t="s">
        <v>674</v>
      </c>
      <c r="B624" s="331"/>
      <c r="C624" s="33" t="s">
        <v>312</v>
      </c>
      <c r="D624" s="148">
        <f>1.52+1.35+0.96+0.97+0.96+1.52+2.32</f>
        <v>9.6</v>
      </c>
      <c r="E624" s="148"/>
      <c r="F624" s="148">
        <f t="shared" si="28"/>
        <v>2.78</v>
      </c>
      <c r="G624" s="148">
        <v>7</v>
      </c>
      <c r="H624" s="148"/>
      <c r="I624" s="148">
        <f>(0.7*2.1+1.2*0.6)*7</f>
        <v>15.33</v>
      </c>
      <c r="J624" s="170">
        <f t="shared" si="27"/>
        <v>171.48599999999999</v>
      </c>
      <c r="K624" s="10"/>
      <c r="L624" s="10"/>
      <c r="M624" s="10"/>
      <c r="N624" s="10"/>
      <c r="O624" s="10"/>
      <c r="P624" s="10"/>
      <c r="Q624" s="10"/>
      <c r="R624" s="10"/>
      <c r="S624" s="10"/>
      <c r="T624" s="10"/>
      <c r="U624" s="10"/>
      <c r="V624" s="10"/>
      <c r="W624" s="10"/>
      <c r="X624" s="10"/>
      <c r="Y624" s="10"/>
    </row>
    <row r="625" spans="1:25" ht="16.5" customHeight="1" x14ac:dyDescent="0.2">
      <c r="A625" s="331"/>
      <c r="B625" s="331"/>
      <c r="C625" s="33" t="s">
        <v>313</v>
      </c>
      <c r="D625" s="148">
        <f>0.72+2.57+2.48+1.52+0.7+0.16+0.95+1.05</f>
        <v>10.149999999999999</v>
      </c>
      <c r="E625" s="148"/>
      <c r="F625" s="148">
        <f t="shared" si="28"/>
        <v>2.78</v>
      </c>
      <c r="G625" s="148">
        <v>7</v>
      </c>
      <c r="H625" s="148"/>
      <c r="I625" s="148">
        <f>1.2*1.2*7</f>
        <v>10.08</v>
      </c>
      <c r="J625" s="170">
        <f t="shared" si="27"/>
        <v>187.43899999999996</v>
      </c>
      <c r="K625" s="10"/>
      <c r="L625" s="10"/>
      <c r="M625" s="10"/>
      <c r="N625" s="10"/>
      <c r="O625" s="10"/>
      <c r="P625" s="10"/>
      <c r="Q625" s="10"/>
      <c r="R625" s="10"/>
      <c r="S625" s="10"/>
      <c r="T625" s="10"/>
      <c r="U625" s="10"/>
      <c r="V625" s="10"/>
      <c r="W625" s="10"/>
      <c r="X625" s="10"/>
      <c r="Y625" s="10"/>
    </row>
    <row r="626" spans="1:25" ht="16.5" customHeight="1" x14ac:dyDescent="0.2">
      <c r="A626" s="331" t="s">
        <v>675</v>
      </c>
      <c r="B626" s="331"/>
      <c r="C626" s="33" t="s">
        <v>312</v>
      </c>
      <c r="D626" s="148">
        <f>1.52+1.35+0.96+0.97+0.96+1.52+2.32</f>
        <v>9.6</v>
      </c>
      <c r="E626" s="148"/>
      <c r="F626" s="148">
        <f t="shared" si="28"/>
        <v>2.78</v>
      </c>
      <c r="G626" s="148">
        <v>7</v>
      </c>
      <c r="H626" s="148"/>
      <c r="I626" s="148">
        <f>(0.7*2.1+1.2*0.6)*7</f>
        <v>15.33</v>
      </c>
      <c r="J626" s="170">
        <f t="shared" si="27"/>
        <v>171.48599999999999</v>
      </c>
      <c r="K626" s="10"/>
      <c r="L626" s="10"/>
      <c r="M626" s="10"/>
      <c r="N626" s="10"/>
      <c r="O626" s="10"/>
      <c r="P626" s="10"/>
      <c r="Q626" s="10"/>
      <c r="R626" s="10"/>
      <c r="S626" s="10"/>
      <c r="T626" s="10"/>
      <c r="U626" s="10"/>
      <c r="V626" s="10"/>
      <c r="W626" s="10"/>
      <c r="X626" s="10"/>
      <c r="Y626" s="10"/>
    </row>
    <row r="627" spans="1:25" ht="16.5" customHeight="1" x14ac:dyDescent="0.2">
      <c r="A627" s="331"/>
      <c r="B627" s="331"/>
      <c r="C627" s="33" t="s">
        <v>313</v>
      </c>
      <c r="D627" s="148">
        <f>0.72+2.57+2.48+1.52+0.7+0.16+0.95+1.05</f>
        <v>10.149999999999999</v>
      </c>
      <c r="E627" s="148"/>
      <c r="F627" s="148">
        <f t="shared" si="28"/>
        <v>2.78</v>
      </c>
      <c r="G627" s="148">
        <v>7</v>
      </c>
      <c r="H627" s="148"/>
      <c r="I627" s="148">
        <f>1.2*1.2*7</f>
        <v>10.08</v>
      </c>
      <c r="J627" s="170">
        <f t="shared" si="27"/>
        <v>187.43899999999996</v>
      </c>
      <c r="K627" s="10"/>
      <c r="L627" s="10"/>
      <c r="M627" s="10"/>
      <c r="N627" s="10"/>
      <c r="O627" s="10"/>
      <c r="P627" s="10"/>
      <c r="Q627" s="10"/>
      <c r="R627" s="10"/>
      <c r="S627" s="10"/>
      <c r="T627" s="10"/>
      <c r="U627" s="10"/>
      <c r="V627" s="10"/>
      <c r="W627" s="10"/>
      <c r="X627" s="10"/>
      <c r="Y627" s="10"/>
    </row>
    <row r="628" spans="1:25" ht="16.5" customHeight="1" x14ac:dyDescent="0.2">
      <c r="A628" s="331" t="s">
        <v>676</v>
      </c>
      <c r="B628" s="331"/>
      <c r="C628" s="33" t="s">
        <v>312</v>
      </c>
      <c r="D628" s="148">
        <f>1.52+1.35+0.96+0.97+0.96+1.52+2.32</f>
        <v>9.6</v>
      </c>
      <c r="E628" s="148"/>
      <c r="F628" s="148">
        <f t="shared" si="28"/>
        <v>2.78</v>
      </c>
      <c r="G628" s="148">
        <v>7</v>
      </c>
      <c r="H628" s="148"/>
      <c r="I628" s="148">
        <f>(0.7*2.1+1.2*0.6)*7</f>
        <v>15.33</v>
      </c>
      <c r="J628" s="170">
        <f t="shared" si="27"/>
        <v>171.48599999999999</v>
      </c>
      <c r="K628" s="10"/>
      <c r="L628" s="10"/>
      <c r="M628" s="10"/>
      <c r="N628" s="10"/>
      <c r="O628" s="10"/>
      <c r="P628" s="10"/>
      <c r="Q628" s="10"/>
      <c r="R628" s="10"/>
      <c r="S628" s="10"/>
      <c r="T628" s="10"/>
      <c r="U628" s="10"/>
      <c r="V628" s="10"/>
      <c r="W628" s="10"/>
      <c r="X628" s="10"/>
      <c r="Y628" s="10"/>
    </row>
    <row r="629" spans="1:25" ht="16.5" customHeight="1" x14ac:dyDescent="0.2">
      <c r="A629" s="331"/>
      <c r="B629" s="331"/>
      <c r="C629" s="33" t="s">
        <v>313</v>
      </c>
      <c r="D629" s="148">
        <f>0.72+2.57+2.48+1.52+0.7+0.16+0.95+1.05</f>
        <v>10.149999999999999</v>
      </c>
      <c r="E629" s="148"/>
      <c r="F629" s="148">
        <f t="shared" si="28"/>
        <v>2.78</v>
      </c>
      <c r="G629" s="148">
        <v>7</v>
      </c>
      <c r="H629" s="148"/>
      <c r="I629" s="148">
        <f>1.2*1.2*7</f>
        <v>10.08</v>
      </c>
      <c r="J629" s="170">
        <f t="shared" si="27"/>
        <v>187.43899999999996</v>
      </c>
      <c r="K629" s="10"/>
      <c r="L629" s="10"/>
      <c r="M629" s="10"/>
      <c r="N629" s="10"/>
      <c r="O629" s="10"/>
      <c r="P629" s="10"/>
      <c r="Q629" s="10"/>
      <c r="R629" s="10"/>
      <c r="S629" s="10"/>
      <c r="T629" s="10"/>
      <c r="U629" s="10"/>
      <c r="V629" s="10"/>
      <c r="W629" s="10"/>
      <c r="X629" s="10"/>
      <c r="Y629" s="10"/>
    </row>
    <row r="630" spans="1:25" ht="16.5" customHeight="1" x14ac:dyDescent="0.2">
      <c r="A630" s="331" t="s">
        <v>677</v>
      </c>
      <c r="B630" s="331"/>
      <c r="C630" s="33" t="s">
        <v>312</v>
      </c>
      <c r="D630" s="148">
        <f>1.52+1.35+0.96+0.97+0.96+1.52+2.32</f>
        <v>9.6</v>
      </c>
      <c r="E630" s="148"/>
      <c r="F630" s="148">
        <f t="shared" si="28"/>
        <v>2.78</v>
      </c>
      <c r="G630" s="148">
        <v>7</v>
      </c>
      <c r="H630" s="148"/>
      <c r="I630" s="148">
        <f>(0.7*2.1+1.2*0.6)*7</f>
        <v>15.33</v>
      </c>
      <c r="J630" s="170">
        <f t="shared" si="27"/>
        <v>171.48599999999999</v>
      </c>
      <c r="K630" s="10"/>
      <c r="L630" s="10"/>
      <c r="M630" s="10"/>
      <c r="N630" s="10"/>
      <c r="O630" s="10"/>
      <c r="P630" s="10"/>
      <c r="Q630" s="10"/>
      <c r="R630" s="10"/>
      <c r="S630" s="10"/>
      <c r="T630" s="10"/>
      <c r="U630" s="10"/>
      <c r="V630" s="10"/>
      <c r="W630" s="10"/>
      <c r="X630" s="10"/>
      <c r="Y630" s="10"/>
    </row>
    <row r="631" spans="1:25" ht="16.5" customHeight="1" x14ac:dyDescent="0.2">
      <c r="A631" s="331"/>
      <c r="B631" s="331"/>
      <c r="C631" s="33" t="s">
        <v>313</v>
      </c>
      <c r="D631" s="148">
        <f>0.72+2.57+2.48+1.52+0.7+0.16+0.95+1.05</f>
        <v>10.149999999999999</v>
      </c>
      <c r="E631" s="148"/>
      <c r="F631" s="148">
        <f t="shared" si="28"/>
        <v>2.78</v>
      </c>
      <c r="G631" s="148">
        <v>7</v>
      </c>
      <c r="H631" s="148"/>
      <c r="I631" s="148">
        <f>1.2*1.2*7</f>
        <v>10.08</v>
      </c>
      <c r="J631" s="170">
        <f t="shared" si="27"/>
        <v>187.43899999999996</v>
      </c>
      <c r="K631" s="10"/>
      <c r="L631" s="10"/>
      <c r="M631" s="10"/>
      <c r="N631" s="10"/>
      <c r="O631" s="10"/>
      <c r="P631" s="10"/>
      <c r="Q631" s="10"/>
      <c r="R631" s="10"/>
      <c r="S631" s="10"/>
      <c r="T631" s="10"/>
      <c r="U631" s="10"/>
      <c r="V631" s="10"/>
      <c r="W631" s="10"/>
      <c r="X631" s="10"/>
      <c r="Y631" s="10"/>
    </row>
    <row r="632" spans="1:25" ht="16.5" customHeight="1" x14ac:dyDescent="0.2">
      <c r="A632" s="331" t="s">
        <v>678</v>
      </c>
      <c r="B632" s="331"/>
      <c r="C632" s="33" t="s">
        <v>312</v>
      </c>
      <c r="D632" s="148">
        <f>1.52+1.35+0.96+0.97+0.96+1.52+2.32</f>
        <v>9.6</v>
      </c>
      <c r="E632" s="148"/>
      <c r="F632" s="148">
        <f t="shared" si="28"/>
        <v>2.78</v>
      </c>
      <c r="G632" s="148">
        <v>7</v>
      </c>
      <c r="H632" s="148"/>
      <c r="I632" s="148">
        <f>(0.7*2.1+1.2*0.6)*7</f>
        <v>15.33</v>
      </c>
      <c r="J632" s="170">
        <f t="shared" si="27"/>
        <v>171.48599999999999</v>
      </c>
      <c r="K632" s="10"/>
      <c r="L632" s="10"/>
      <c r="M632" s="10"/>
      <c r="N632" s="10"/>
      <c r="O632" s="10"/>
      <c r="P632" s="10"/>
      <c r="Q632" s="10"/>
      <c r="R632" s="10"/>
      <c r="S632" s="10"/>
      <c r="T632" s="10"/>
      <c r="U632" s="10"/>
      <c r="V632" s="10"/>
      <c r="W632" s="10"/>
      <c r="X632" s="10"/>
      <c r="Y632" s="10"/>
    </row>
    <row r="633" spans="1:25" ht="16.5" customHeight="1" x14ac:dyDescent="0.2">
      <c r="A633" s="331"/>
      <c r="B633" s="331"/>
      <c r="C633" s="33" t="s">
        <v>313</v>
      </c>
      <c r="D633" s="148">
        <f>0.72+2.57+2.48+1.52+0.7+0.16+0.95+1.05</f>
        <v>10.149999999999999</v>
      </c>
      <c r="E633" s="148"/>
      <c r="F633" s="148">
        <f t="shared" si="28"/>
        <v>2.78</v>
      </c>
      <c r="G633" s="148">
        <v>7</v>
      </c>
      <c r="H633" s="148"/>
      <c r="I633" s="148">
        <f>1.2*1.2*7</f>
        <v>10.08</v>
      </c>
      <c r="J633" s="170">
        <f t="shared" si="27"/>
        <v>187.43899999999996</v>
      </c>
      <c r="K633" s="10"/>
      <c r="L633" s="10"/>
      <c r="M633" s="10"/>
      <c r="N633" s="10"/>
      <c r="O633" s="10"/>
      <c r="P633" s="10"/>
      <c r="Q633" s="10"/>
      <c r="R633" s="10"/>
      <c r="S633" s="10"/>
      <c r="T633" s="10"/>
      <c r="U633" s="10"/>
      <c r="V633" s="10"/>
      <c r="W633" s="10"/>
      <c r="X633" s="10"/>
      <c r="Y633" s="10"/>
    </row>
    <row r="634" spans="1:25" ht="16.5" customHeight="1" x14ac:dyDescent="0.2">
      <c r="A634" s="331" t="s">
        <v>679</v>
      </c>
      <c r="B634" s="331"/>
      <c r="C634" s="33" t="s">
        <v>312</v>
      </c>
      <c r="D634" s="148">
        <f>1.52+1.35+0.96+0.97+0.96+1.52+2.32</f>
        <v>9.6</v>
      </c>
      <c r="E634" s="148"/>
      <c r="F634" s="148">
        <f t="shared" si="28"/>
        <v>2.78</v>
      </c>
      <c r="G634" s="148">
        <v>7</v>
      </c>
      <c r="H634" s="148"/>
      <c r="I634" s="148">
        <f>(0.7*2.1+1.2*0.6)*7</f>
        <v>15.33</v>
      </c>
      <c r="J634" s="170">
        <f t="shared" si="27"/>
        <v>171.48599999999999</v>
      </c>
      <c r="K634" s="10"/>
      <c r="L634" s="10"/>
      <c r="M634" s="10"/>
      <c r="N634" s="10"/>
      <c r="O634" s="10"/>
      <c r="P634" s="10"/>
      <c r="Q634" s="10"/>
      <c r="R634" s="10"/>
      <c r="S634" s="10"/>
      <c r="T634" s="10"/>
      <c r="U634" s="10"/>
      <c r="V634" s="10"/>
      <c r="W634" s="10"/>
      <c r="X634" s="10"/>
      <c r="Y634" s="10"/>
    </row>
    <row r="635" spans="1:25" ht="16.5" customHeight="1" x14ac:dyDescent="0.2">
      <c r="A635" s="331"/>
      <c r="B635" s="331"/>
      <c r="C635" s="33" t="s">
        <v>313</v>
      </c>
      <c r="D635" s="148">
        <f>0.72+2.57+2.48+1.52+0.7+0.16+0.95+1.05</f>
        <v>10.149999999999999</v>
      </c>
      <c r="E635" s="148"/>
      <c r="F635" s="148">
        <f t="shared" si="28"/>
        <v>2.78</v>
      </c>
      <c r="G635" s="148">
        <v>7</v>
      </c>
      <c r="H635" s="148"/>
      <c r="I635" s="148">
        <f>1.2*1.2*7</f>
        <v>10.08</v>
      </c>
      <c r="J635" s="170">
        <f t="shared" si="27"/>
        <v>187.43899999999996</v>
      </c>
      <c r="K635" s="10"/>
      <c r="L635" s="10"/>
      <c r="M635" s="10"/>
      <c r="N635" s="10"/>
      <c r="O635" s="10"/>
      <c r="P635" s="10"/>
      <c r="Q635" s="10"/>
      <c r="R635" s="10"/>
      <c r="S635" s="10"/>
      <c r="T635" s="10"/>
      <c r="U635" s="10"/>
      <c r="V635" s="10"/>
      <c r="W635" s="10"/>
      <c r="X635" s="10"/>
      <c r="Y635" s="10"/>
    </row>
    <row r="636" spans="1:25" ht="16.5" customHeight="1" x14ac:dyDescent="0.2">
      <c r="A636" s="331" t="s">
        <v>769</v>
      </c>
      <c r="B636" s="331"/>
      <c r="C636" s="33" t="s">
        <v>312</v>
      </c>
      <c r="D636" s="148">
        <f>1.52+1.35+0.96+0.97+0.96+1.52+2.32</f>
        <v>9.6</v>
      </c>
      <c r="E636" s="148"/>
      <c r="F636" s="148">
        <f t="shared" si="28"/>
        <v>2.78</v>
      </c>
      <c r="G636" s="148">
        <v>7</v>
      </c>
      <c r="H636" s="148"/>
      <c r="I636" s="148">
        <f>(0.7*2.1+1.2*0.6)*7</f>
        <v>15.33</v>
      </c>
      <c r="J636" s="170">
        <f t="shared" si="27"/>
        <v>171.48599999999999</v>
      </c>
      <c r="K636" s="10"/>
      <c r="L636" s="10"/>
      <c r="M636" s="10"/>
      <c r="N636" s="10"/>
      <c r="O636" s="10"/>
      <c r="P636" s="10"/>
      <c r="Q636" s="10"/>
      <c r="R636" s="10"/>
      <c r="S636" s="10"/>
      <c r="T636" s="10"/>
      <c r="U636" s="10"/>
      <c r="V636" s="10"/>
      <c r="W636" s="10"/>
      <c r="X636" s="10"/>
      <c r="Y636" s="10"/>
    </row>
    <row r="637" spans="1:25" ht="16.5" customHeight="1" x14ac:dyDescent="0.2">
      <c r="A637" s="331"/>
      <c r="B637" s="331"/>
      <c r="C637" s="33" t="s">
        <v>313</v>
      </c>
      <c r="D637" s="148">
        <f>0.72+2.57+2.48+1.52+0.7+0.16+0.95+1.05</f>
        <v>10.149999999999999</v>
      </c>
      <c r="E637" s="148"/>
      <c r="F637" s="148">
        <f t="shared" si="28"/>
        <v>2.78</v>
      </c>
      <c r="G637" s="148">
        <v>7</v>
      </c>
      <c r="H637" s="148"/>
      <c r="I637" s="148">
        <f>1.2*1.2*7</f>
        <v>10.08</v>
      </c>
      <c r="J637" s="170">
        <f t="shared" si="27"/>
        <v>187.43899999999996</v>
      </c>
      <c r="K637" s="10"/>
      <c r="L637" s="10"/>
      <c r="M637" s="10"/>
      <c r="N637" s="10"/>
      <c r="O637" s="10"/>
      <c r="P637" s="10"/>
      <c r="Q637" s="10"/>
      <c r="R637" s="10"/>
      <c r="S637" s="10"/>
      <c r="T637" s="10"/>
      <c r="U637" s="10"/>
      <c r="V637" s="10"/>
      <c r="W637" s="10"/>
      <c r="X637" s="10"/>
      <c r="Y637" s="10"/>
    </row>
    <row r="638" spans="1:25" ht="16.5" customHeight="1" x14ac:dyDescent="0.2">
      <c r="A638" s="331" t="s">
        <v>681</v>
      </c>
      <c r="B638" s="331"/>
      <c r="C638" s="33" t="s">
        <v>312</v>
      </c>
      <c r="D638" s="148">
        <f>1.52+1.35+0.96+0.97+0.96+1.52+2.32</f>
        <v>9.6</v>
      </c>
      <c r="E638" s="148"/>
      <c r="F638" s="148">
        <f t="shared" si="28"/>
        <v>2.78</v>
      </c>
      <c r="G638" s="148">
        <v>7</v>
      </c>
      <c r="H638" s="148"/>
      <c r="I638" s="148">
        <f>(0.7*2.1+1.2*0.6)*7</f>
        <v>15.33</v>
      </c>
      <c r="J638" s="170">
        <f t="shared" si="27"/>
        <v>171.48599999999999</v>
      </c>
      <c r="K638" s="10"/>
      <c r="L638" s="10"/>
      <c r="M638" s="10"/>
      <c r="N638" s="10"/>
      <c r="O638" s="10"/>
      <c r="P638" s="10"/>
      <c r="Q638" s="10"/>
      <c r="R638" s="10"/>
      <c r="S638" s="10"/>
      <c r="T638" s="10"/>
      <c r="U638" s="10"/>
      <c r="V638" s="10"/>
      <c r="W638" s="10"/>
      <c r="X638" s="10"/>
      <c r="Y638" s="10"/>
    </row>
    <row r="639" spans="1:25" ht="16.5" customHeight="1" x14ac:dyDescent="0.2">
      <c r="A639" s="331"/>
      <c r="B639" s="331"/>
      <c r="C639" s="33" t="s">
        <v>313</v>
      </c>
      <c r="D639" s="148">
        <f>0.72+2.57+2.48+1.52+0.7+0.16+0.95+1.05</f>
        <v>10.149999999999999</v>
      </c>
      <c r="E639" s="148"/>
      <c r="F639" s="148">
        <f t="shared" si="28"/>
        <v>2.78</v>
      </c>
      <c r="G639" s="148">
        <v>7</v>
      </c>
      <c r="H639" s="148"/>
      <c r="I639" s="148">
        <f>1.2*1.2*7</f>
        <v>10.08</v>
      </c>
      <c r="J639" s="170">
        <f t="shared" si="27"/>
        <v>187.43899999999996</v>
      </c>
      <c r="K639" s="10"/>
      <c r="L639" s="10"/>
      <c r="M639" s="10"/>
      <c r="N639" s="10"/>
      <c r="O639" s="10"/>
      <c r="P639" s="10"/>
      <c r="Q639" s="10"/>
      <c r="R639" s="10"/>
      <c r="S639" s="10"/>
      <c r="T639" s="10"/>
      <c r="U639" s="10"/>
      <c r="V639" s="10"/>
      <c r="W639" s="10"/>
      <c r="X639" s="10"/>
      <c r="Y639" s="10"/>
    </row>
    <row r="640" spans="1:25" ht="16.5" customHeight="1" x14ac:dyDescent="0.2">
      <c r="A640" s="331" t="s">
        <v>682</v>
      </c>
      <c r="B640" s="331"/>
      <c r="C640" s="33" t="s">
        <v>312</v>
      </c>
      <c r="D640" s="148">
        <f>1.52+1.35+0.96+0.97+0.96+1.52+2.32</f>
        <v>9.6</v>
      </c>
      <c r="E640" s="148"/>
      <c r="F640" s="148">
        <f t="shared" si="28"/>
        <v>2.78</v>
      </c>
      <c r="G640" s="148">
        <v>7</v>
      </c>
      <c r="H640" s="148"/>
      <c r="I640" s="148">
        <f>(0.7*2.1+1.2*0.6)*7</f>
        <v>15.33</v>
      </c>
      <c r="J640" s="170">
        <f t="shared" si="27"/>
        <v>171.48599999999999</v>
      </c>
      <c r="K640" s="10"/>
      <c r="L640" s="10"/>
      <c r="M640" s="10"/>
      <c r="N640" s="10"/>
      <c r="O640" s="10"/>
      <c r="P640" s="10"/>
      <c r="Q640" s="10"/>
      <c r="R640" s="10"/>
      <c r="S640" s="10"/>
      <c r="T640" s="10"/>
      <c r="U640" s="10"/>
      <c r="V640" s="10"/>
      <c r="W640" s="10"/>
      <c r="X640" s="10"/>
      <c r="Y640" s="10"/>
    </row>
    <row r="641" spans="1:25" ht="16.5" customHeight="1" x14ac:dyDescent="0.2">
      <c r="A641" s="331"/>
      <c r="B641" s="331"/>
      <c r="C641" s="33" t="s">
        <v>313</v>
      </c>
      <c r="D641" s="148">
        <f>0.72+2.57+2.48+1.52+0.7+0.16+0.95+1.05</f>
        <v>10.149999999999999</v>
      </c>
      <c r="E641" s="148"/>
      <c r="F641" s="148">
        <f t="shared" si="28"/>
        <v>2.78</v>
      </c>
      <c r="G641" s="148">
        <v>7</v>
      </c>
      <c r="H641" s="148"/>
      <c r="I641" s="148">
        <f>1.2*1.2*7</f>
        <v>10.08</v>
      </c>
      <c r="J641" s="170">
        <f t="shared" si="27"/>
        <v>187.43899999999996</v>
      </c>
      <c r="K641" s="10"/>
      <c r="L641" s="10"/>
      <c r="M641" s="10"/>
      <c r="N641" s="10"/>
      <c r="O641" s="10"/>
      <c r="P641" s="10"/>
      <c r="Q641" s="10"/>
      <c r="R641" s="10"/>
      <c r="S641" s="10"/>
      <c r="T641" s="10"/>
      <c r="U641" s="10"/>
      <c r="V641" s="10"/>
      <c r="W641" s="10"/>
      <c r="X641" s="10"/>
      <c r="Y641" s="10"/>
    </row>
    <row r="642" spans="1:25" ht="16.5" customHeight="1" x14ac:dyDescent="0.2">
      <c r="A642" s="331" t="s">
        <v>683</v>
      </c>
      <c r="B642" s="331"/>
      <c r="C642" s="33" t="s">
        <v>312</v>
      </c>
      <c r="D642" s="148">
        <f>1.52+1.35+0.96+0.97+0.96+1.52+2.32</f>
        <v>9.6</v>
      </c>
      <c r="E642" s="148"/>
      <c r="F642" s="148">
        <f t="shared" si="28"/>
        <v>2.78</v>
      </c>
      <c r="G642" s="148">
        <v>7</v>
      </c>
      <c r="H642" s="148"/>
      <c r="I642" s="148">
        <f>(0.7*2.1+1.2*0.6)*7</f>
        <v>15.33</v>
      </c>
      <c r="J642" s="170">
        <f t="shared" si="27"/>
        <v>171.48599999999999</v>
      </c>
      <c r="K642" s="10"/>
      <c r="L642" s="10"/>
      <c r="M642" s="10"/>
      <c r="N642" s="10"/>
      <c r="O642" s="10"/>
      <c r="P642" s="10"/>
      <c r="Q642" s="10"/>
      <c r="R642" s="10"/>
      <c r="S642" s="10"/>
      <c r="T642" s="10"/>
      <c r="U642" s="10"/>
      <c r="V642" s="10"/>
      <c r="W642" s="10"/>
      <c r="X642" s="10"/>
      <c r="Y642" s="10"/>
    </row>
    <row r="643" spans="1:25" ht="16.5" customHeight="1" x14ac:dyDescent="0.2">
      <c r="A643" s="331"/>
      <c r="B643" s="331"/>
      <c r="C643" s="33" t="s">
        <v>313</v>
      </c>
      <c r="D643" s="148">
        <f>0.72+2.57+2.48+1.52+0.7+0.16+0.95+1.05</f>
        <v>10.149999999999999</v>
      </c>
      <c r="E643" s="148"/>
      <c r="F643" s="148">
        <f t="shared" si="28"/>
        <v>2.78</v>
      </c>
      <c r="G643" s="148">
        <v>7</v>
      </c>
      <c r="H643" s="148"/>
      <c r="I643" s="148">
        <f>1.2*1.2*7</f>
        <v>10.08</v>
      </c>
      <c r="J643" s="170">
        <f t="shared" si="27"/>
        <v>187.43899999999996</v>
      </c>
      <c r="K643" s="10"/>
      <c r="L643" s="10"/>
      <c r="M643" s="10"/>
      <c r="N643" s="10"/>
      <c r="O643" s="10"/>
      <c r="P643" s="10"/>
      <c r="Q643" s="10"/>
      <c r="R643" s="10"/>
      <c r="S643" s="10"/>
      <c r="T643" s="10"/>
      <c r="U643" s="10"/>
      <c r="V643" s="10"/>
      <c r="W643" s="10"/>
      <c r="X643" s="10"/>
      <c r="Y643" s="10"/>
    </row>
    <row r="644" spans="1:25" ht="16.5" customHeight="1" x14ac:dyDescent="0.2">
      <c r="A644" s="331" t="s">
        <v>783</v>
      </c>
      <c r="B644" s="331"/>
      <c r="C644" s="33" t="s">
        <v>312</v>
      </c>
      <c r="D644" s="148">
        <f>1.52+1.35+0.96+0.97+0.96+1.52+2.32</f>
        <v>9.6</v>
      </c>
      <c r="E644" s="148"/>
      <c r="F644" s="148">
        <f t="shared" si="28"/>
        <v>2.78</v>
      </c>
      <c r="G644" s="148">
        <v>7</v>
      </c>
      <c r="H644" s="148"/>
      <c r="I644" s="148">
        <f>(0.7*2.1+1.2*0.6)*7</f>
        <v>15.33</v>
      </c>
      <c r="J644" s="170">
        <f t="shared" si="27"/>
        <v>171.48599999999999</v>
      </c>
      <c r="K644" s="10"/>
      <c r="L644" s="10"/>
      <c r="M644" s="10"/>
      <c r="N644" s="10"/>
      <c r="O644" s="10"/>
      <c r="P644" s="10"/>
      <c r="Q644" s="10"/>
      <c r="R644" s="10"/>
      <c r="S644" s="10"/>
      <c r="T644" s="10"/>
      <c r="U644" s="10"/>
      <c r="V644" s="10"/>
      <c r="W644" s="10"/>
      <c r="X644" s="10"/>
      <c r="Y644" s="10"/>
    </row>
    <row r="645" spans="1:25" ht="16.5" customHeight="1" x14ac:dyDescent="0.2">
      <c r="A645" s="331"/>
      <c r="B645" s="331"/>
      <c r="C645" s="33" t="s">
        <v>313</v>
      </c>
      <c r="D645" s="148">
        <f>0.72+2.57+2.48+1.52+0.7+0.16+0.95+1.05</f>
        <v>10.149999999999999</v>
      </c>
      <c r="E645" s="148"/>
      <c r="F645" s="148">
        <f t="shared" si="28"/>
        <v>2.78</v>
      </c>
      <c r="G645" s="148">
        <v>7</v>
      </c>
      <c r="H645" s="148"/>
      <c r="I645" s="148">
        <f>1.2*1.2*7</f>
        <v>10.08</v>
      </c>
      <c r="J645" s="170">
        <f t="shared" si="27"/>
        <v>187.43899999999996</v>
      </c>
      <c r="K645" s="10"/>
      <c r="L645" s="10"/>
      <c r="M645" s="10"/>
      <c r="N645" s="10"/>
      <c r="O645" s="10"/>
      <c r="P645" s="10"/>
      <c r="Q645" s="10"/>
      <c r="R645" s="10"/>
      <c r="S645" s="10"/>
      <c r="T645" s="10"/>
      <c r="U645" s="10"/>
      <c r="V645" s="10"/>
      <c r="W645" s="10"/>
      <c r="X645" s="10"/>
      <c r="Y645" s="10"/>
    </row>
    <row r="646" spans="1:25" ht="16.5" customHeight="1" x14ac:dyDescent="0.2">
      <c r="A646" s="331" t="s">
        <v>685</v>
      </c>
      <c r="B646" s="331"/>
      <c r="C646" s="33" t="s">
        <v>312</v>
      </c>
      <c r="D646" s="148">
        <f>1.52+1.35+0.96+0.97+0.96+1.52+2.32</f>
        <v>9.6</v>
      </c>
      <c r="E646" s="148"/>
      <c r="F646" s="148">
        <f t="shared" si="28"/>
        <v>2.78</v>
      </c>
      <c r="G646" s="148">
        <v>7</v>
      </c>
      <c r="H646" s="148"/>
      <c r="I646" s="148">
        <f>(0.7*2.1+1.2*0.6)*7</f>
        <v>15.33</v>
      </c>
      <c r="J646" s="170">
        <f t="shared" si="27"/>
        <v>171.48599999999999</v>
      </c>
      <c r="K646" s="10"/>
      <c r="L646" s="10"/>
      <c r="M646" s="10"/>
      <c r="N646" s="10"/>
      <c r="O646" s="10"/>
      <c r="P646" s="10"/>
      <c r="Q646" s="10"/>
      <c r="R646" s="10"/>
      <c r="S646" s="10"/>
      <c r="T646" s="10"/>
      <c r="U646" s="10"/>
      <c r="V646" s="10"/>
      <c r="W646" s="10"/>
      <c r="X646" s="10"/>
      <c r="Y646" s="10"/>
    </row>
    <row r="647" spans="1:25" ht="16.5" customHeight="1" x14ac:dyDescent="0.2">
      <c r="A647" s="331"/>
      <c r="B647" s="331"/>
      <c r="C647" s="33" t="s">
        <v>313</v>
      </c>
      <c r="D647" s="148">
        <f>0.72+2.57+2.48+1.52+0.7+0.16+0.95+1.05</f>
        <v>10.149999999999999</v>
      </c>
      <c r="E647" s="148"/>
      <c r="F647" s="148">
        <f t="shared" si="28"/>
        <v>2.78</v>
      </c>
      <c r="G647" s="148">
        <v>7</v>
      </c>
      <c r="H647" s="148"/>
      <c r="I647" s="148">
        <f>1.2*1.2*7</f>
        <v>10.08</v>
      </c>
      <c r="J647" s="170">
        <f t="shared" si="27"/>
        <v>187.43899999999996</v>
      </c>
      <c r="K647" s="10"/>
      <c r="L647" s="10"/>
      <c r="M647" s="10"/>
      <c r="N647" s="10"/>
      <c r="O647" s="10"/>
      <c r="P647" s="10"/>
      <c r="Q647" s="10"/>
      <c r="R647" s="10"/>
      <c r="S647" s="10"/>
      <c r="T647" s="10"/>
      <c r="U647" s="10"/>
      <c r="V647" s="10"/>
      <c r="W647" s="10"/>
      <c r="X647" s="10"/>
      <c r="Y647" s="10"/>
    </row>
    <row r="648" spans="1:25" ht="16.5" customHeight="1" x14ac:dyDescent="0.2">
      <c r="A648" s="331" t="s">
        <v>687</v>
      </c>
      <c r="B648" s="331"/>
      <c r="C648" s="33" t="s">
        <v>312</v>
      </c>
      <c r="D648" s="148">
        <f>1.52+1.35+0.96+0.97+0.96+1.52+2.32</f>
        <v>9.6</v>
      </c>
      <c r="E648" s="148"/>
      <c r="F648" s="148">
        <f t="shared" si="28"/>
        <v>2.78</v>
      </c>
      <c r="G648" s="148">
        <v>7</v>
      </c>
      <c r="H648" s="148"/>
      <c r="I648" s="148">
        <f>(0.7*2.1+1.2*0.6)*7</f>
        <v>15.33</v>
      </c>
      <c r="J648" s="170">
        <f t="shared" si="27"/>
        <v>171.48599999999999</v>
      </c>
      <c r="K648" s="10"/>
      <c r="L648" s="10"/>
      <c r="M648" s="10"/>
      <c r="N648" s="10"/>
      <c r="O648" s="10"/>
      <c r="P648" s="10"/>
      <c r="Q648" s="10"/>
      <c r="R648" s="10"/>
      <c r="S648" s="10"/>
      <c r="T648" s="10"/>
      <c r="U648" s="10"/>
      <c r="V648" s="10"/>
      <c r="W648" s="10"/>
      <c r="X648" s="10"/>
      <c r="Y648" s="10"/>
    </row>
    <row r="649" spans="1:25" ht="16.5" customHeight="1" x14ac:dyDescent="0.2">
      <c r="A649" s="331"/>
      <c r="B649" s="331"/>
      <c r="C649" s="33" t="s">
        <v>313</v>
      </c>
      <c r="D649" s="148">
        <f>0.72+2.57+2.48+1.52+0.7+0.16+0.95+1.05</f>
        <v>10.149999999999999</v>
      </c>
      <c r="E649" s="148"/>
      <c r="F649" s="148">
        <f t="shared" si="28"/>
        <v>2.78</v>
      </c>
      <c r="G649" s="148">
        <v>7</v>
      </c>
      <c r="H649" s="148"/>
      <c r="I649" s="148">
        <f>1.2*1.2*7</f>
        <v>10.08</v>
      </c>
      <c r="J649" s="170">
        <f t="shared" si="27"/>
        <v>187.43899999999996</v>
      </c>
      <c r="K649" s="10"/>
      <c r="L649" s="10"/>
      <c r="M649" s="10"/>
      <c r="N649" s="10"/>
      <c r="O649" s="10"/>
      <c r="P649" s="10"/>
      <c r="Q649" s="10"/>
      <c r="R649" s="10"/>
      <c r="S649" s="10"/>
      <c r="T649" s="10"/>
      <c r="U649" s="10"/>
      <c r="V649" s="10"/>
      <c r="W649" s="10"/>
      <c r="X649" s="10"/>
      <c r="Y649" s="10"/>
    </row>
    <row r="650" spans="1:25" ht="16.5" customHeight="1" x14ac:dyDescent="0.2">
      <c r="A650" s="342" t="str">
        <f>"TOTAL - "&amp;'Planilha orçamentária'!F56</f>
        <v>TOTAL - M2</v>
      </c>
      <c r="B650" s="342"/>
      <c r="C650" s="342"/>
      <c r="D650" s="342"/>
      <c r="E650" s="342"/>
      <c r="F650" s="342"/>
      <c r="G650" s="342"/>
      <c r="H650" s="342"/>
      <c r="I650" s="342"/>
      <c r="J650" s="149">
        <f>SUM(J618:J649)</f>
        <v>5741.329999999999</v>
      </c>
      <c r="K650" s="10"/>
      <c r="L650" s="10"/>
      <c r="M650" s="10"/>
      <c r="N650" s="10"/>
      <c r="O650" s="10"/>
      <c r="P650" s="10"/>
      <c r="Q650" s="10"/>
      <c r="R650" s="10"/>
      <c r="S650" s="10"/>
      <c r="T650" s="10"/>
      <c r="U650" s="10"/>
      <c r="V650" s="10"/>
      <c r="W650" s="10"/>
      <c r="X650" s="10"/>
      <c r="Y650" s="10"/>
    </row>
    <row r="651" spans="1:25" ht="16.5" customHeight="1" x14ac:dyDescent="0.2">
      <c r="A651" s="184" t="str">
        <f>'Planilha orçamentária'!A57</f>
        <v>8.10</v>
      </c>
      <c r="B651" s="343" t="str">
        <f>'Planilha orçamentária'!D57</f>
        <v>Reboco com argamassa, traço 1:2:8 (cimento, cal e areia), esp. 20mm, aplicação manual, preparo mecânico</v>
      </c>
      <c r="C651" s="344"/>
      <c r="D651" s="344"/>
      <c r="E651" s="344"/>
      <c r="F651" s="344"/>
      <c r="G651" s="344"/>
      <c r="H651" s="344"/>
      <c r="I651" s="344"/>
      <c r="J651" s="344"/>
      <c r="K651" s="10"/>
      <c r="L651" s="10"/>
      <c r="M651" s="10"/>
      <c r="N651" s="10"/>
      <c r="O651" s="10"/>
      <c r="P651" s="10"/>
      <c r="Q651" s="10"/>
      <c r="R651" s="10"/>
      <c r="S651" s="10"/>
      <c r="T651" s="10"/>
      <c r="U651" s="10"/>
      <c r="V651" s="10"/>
      <c r="W651" s="10"/>
      <c r="X651" s="10"/>
      <c r="Y651" s="10"/>
    </row>
    <row r="652" spans="1:25" ht="25.5" customHeight="1" x14ac:dyDescent="0.2">
      <c r="A652" s="327" t="s">
        <v>120</v>
      </c>
      <c r="B652" s="328"/>
      <c r="C652" s="328"/>
      <c r="D652" s="182" t="s">
        <v>307</v>
      </c>
      <c r="E652" s="182" t="s">
        <v>122</v>
      </c>
      <c r="F652" s="181" t="s">
        <v>123</v>
      </c>
      <c r="G652" s="181" t="s">
        <v>493</v>
      </c>
      <c r="H652" s="181" t="s">
        <v>125</v>
      </c>
      <c r="I652" s="182" t="s">
        <v>126</v>
      </c>
      <c r="J652" s="182" t="s">
        <v>113</v>
      </c>
      <c r="K652" s="10"/>
      <c r="L652" s="10"/>
      <c r="M652" s="10"/>
      <c r="N652" s="10"/>
      <c r="O652" s="10"/>
      <c r="P652" s="10"/>
      <c r="Q652" s="10"/>
      <c r="R652" s="10"/>
      <c r="S652" s="10"/>
      <c r="T652" s="10"/>
      <c r="U652" s="10"/>
      <c r="V652" s="10"/>
      <c r="W652" s="10"/>
      <c r="X652" s="10"/>
      <c r="Y652" s="10"/>
    </row>
    <row r="653" spans="1:25" s="31" customFormat="1" ht="18.75" customHeight="1" x14ac:dyDescent="0.2">
      <c r="A653" s="318" t="s">
        <v>777</v>
      </c>
      <c r="B653" s="319"/>
      <c r="C653" s="332"/>
      <c r="D653" s="148">
        <f>4.44+4.44</f>
        <v>8.8800000000000008</v>
      </c>
      <c r="E653" s="148"/>
      <c r="F653" s="148">
        <v>1.8</v>
      </c>
      <c r="G653" s="148">
        <v>7</v>
      </c>
      <c r="H653" s="148"/>
      <c r="I653" s="148"/>
      <c r="J653" s="170">
        <f t="shared" ref="J653:J658" si="29">PRODUCT(D653:H653)-I653</f>
        <v>111.88800000000001</v>
      </c>
      <c r="K653" s="150"/>
      <c r="L653" s="150"/>
      <c r="M653" s="150"/>
      <c r="N653" s="150"/>
      <c r="O653" s="150"/>
      <c r="P653" s="150"/>
      <c r="Q653" s="150"/>
      <c r="R653" s="150"/>
      <c r="S653" s="150"/>
      <c r="T653" s="150"/>
      <c r="U653" s="150"/>
      <c r="V653" s="150"/>
      <c r="W653" s="150"/>
      <c r="X653" s="150"/>
      <c r="Y653" s="150"/>
    </row>
    <row r="654" spans="1:25" s="31" customFormat="1" ht="18.75" customHeight="1" x14ac:dyDescent="0.2">
      <c r="A654" s="318" t="s">
        <v>779</v>
      </c>
      <c r="B654" s="319"/>
      <c r="C654" s="332"/>
      <c r="D654" s="148">
        <f>4.63*2</f>
        <v>9.26</v>
      </c>
      <c r="E654" s="148"/>
      <c r="F654" s="148">
        <v>1.8</v>
      </c>
      <c r="G654" s="148">
        <v>7</v>
      </c>
      <c r="H654" s="148"/>
      <c r="I654" s="148"/>
      <c r="J654" s="170">
        <f t="shared" si="29"/>
        <v>116.67599999999999</v>
      </c>
      <c r="K654" s="150"/>
      <c r="L654" s="150"/>
      <c r="M654" s="150"/>
      <c r="N654" s="150"/>
      <c r="O654" s="150"/>
      <c r="P654" s="150"/>
      <c r="Q654" s="150"/>
      <c r="R654" s="150"/>
      <c r="S654" s="150"/>
      <c r="T654" s="150"/>
      <c r="U654" s="150"/>
      <c r="V654" s="150"/>
      <c r="W654" s="150"/>
      <c r="X654" s="150"/>
      <c r="Y654" s="150"/>
    </row>
    <row r="655" spans="1:25" s="31" customFormat="1" ht="18.75" customHeight="1" x14ac:dyDescent="0.2">
      <c r="A655" s="318" t="s">
        <v>778</v>
      </c>
      <c r="B655" s="319"/>
      <c r="C655" s="332"/>
      <c r="D655" s="148">
        <f>4.74*2</f>
        <v>9.48</v>
      </c>
      <c r="E655" s="148"/>
      <c r="F655" s="148">
        <v>3</v>
      </c>
      <c r="G655" s="148">
        <v>7</v>
      </c>
      <c r="H655" s="148"/>
      <c r="I655" s="148"/>
      <c r="J655" s="170">
        <f t="shared" si="29"/>
        <v>199.08</v>
      </c>
      <c r="K655" s="150"/>
      <c r="L655" s="150"/>
      <c r="M655" s="150"/>
      <c r="N655" s="150"/>
      <c r="O655" s="150"/>
      <c r="P655" s="150"/>
      <c r="Q655" s="150"/>
      <c r="R655" s="150"/>
      <c r="S655" s="150"/>
      <c r="T655" s="150"/>
      <c r="U655" s="150"/>
      <c r="V655" s="150"/>
      <c r="W655" s="150"/>
      <c r="X655" s="150"/>
      <c r="Y655" s="150"/>
    </row>
    <row r="656" spans="1:25" s="31" customFormat="1" ht="18.75" customHeight="1" x14ac:dyDescent="0.2">
      <c r="A656" s="318" t="s">
        <v>780</v>
      </c>
      <c r="B656" s="319"/>
      <c r="C656" s="332"/>
      <c r="D656" s="148">
        <f>4.63+0.3</f>
        <v>4.93</v>
      </c>
      <c r="E656" s="148"/>
      <c r="F656" s="148">
        <v>3</v>
      </c>
      <c r="G656" s="148">
        <v>7</v>
      </c>
      <c r="H656" s="148"/>
      <c r="I656" s="148">
        <v>6.72</v>
      </c>
      <c r="J656" s="170">
        <f t="shared" si="29"/>
        <v>96.81</v>
      </c>
      <c r="K656" s="150"/>
      <c r="L656" s="150"/>
      <c r="M656" s="150"/>
      <c r="N656" s="150"/>
      <c r="O656" s="150"/>
      <c r="P656" s="150"/>
      <c r="Q656" s="150"/>
      <c r="R656" s="150"/>
      <c r="S656" s="150"/>
      <c r="T656" s="150"/>
      <c r="U656" s="150"/>
      <c r="V656" s="150"/>
      <c r="W656" s="150"/>
      <c r="X656" s="150"/>
      <c r="Y656" s="150"/>
    </row>
    <row r="657" spans="1:25" s="31" customFormat="1" ht="18.75" customHeight="1" x14ac:dyDescent="0.2">
      <c r="A657" s="318" t="s">
        <v>781</v>
      </c>
      <c r="B657" s="319"/>
      <c r="C657" s="332"/>
      <c r="D657" s="148">
        <f>(5.02+5.49+17.09+5.49+7.1)*2</f>
        <v>80.38000000000001</v>
      </c>
      <c r="E657" s="148"/>
      <c r="F657" s="148">
        <v>1.4</v>
      </c>
      <c r="G657" s="148">
        <v>7</v>
      </c>
      <c r="H657" s="148"/>
      <c r="I657" s="148"/>
      <c r="J657" s="170">
        <f t="shared" si="29"/>
        <v>787.72400000000005</v>
      </c>
      <c r="K657" s="150"/>
      <c r="L657" s="150"/>
      <c r="M657" s="150"/>
      <c r="N657" s="150"/>
      <c r="O657" s="150"/>
      <c r="P657" s="150"/>
      <c r="Q657" s="150"/>
      <c r="R657" s="150"/>
      <c r="S657" s="150"/>
      <c r="T657" s="150"/>
      <c r="U657" s="150"/>
      <c r="V657" s="150"/>
      <c r="W657" s="150"/>
      <c r="X657" s="150"/>
      <c r="Y657" s="150"/>
    </row>
    <row r="658" spans="1:25" s="31" customFormat="1" ht="18.75" customHeight="1" x14ac:dyDescent="0.2">
      <c r="A658" s="318" t="s">
        <v>782</v>
      </c>
      <c r="B658" s="319"/>
      <c r="C658" s="332"/>
      <c r="D658" s="148">
        <f>5.49+17.09+5.49+7.1+4.4+7.1+5.49+17.09+5.49+5.02+4.4+5.02</f>
        <v>89.179999999999993</v>
      </c>
      <c r="E658" s="148"/>
      <c r="F658" s="148">
        <v>12.8</v>
      </c>
      <c r="G658" s="148">
        <v>7</v>
      </c>
      <c r="H658" s="148"/>
      <c r="I658" s="148">
        <v>873.6</v>
      </c>
      <c r="J658" s="170">
        <f t="shared" si="29"/>
        <v>7116.927999999999</v>
      </c>
      <c r="K658" s="150"/>
      <c r="L658" s="150"/>
      <c r="M658" s="150"/>
      <c r="N658" s="150"/>
      <c r="O658" s="150"/>
      <c r="P658" s="150"/>
      <c r="Q658" s="150"/>
      <c r="R658" s="150"/>
      <c r="S658" s="150"/>
      <c r="T658" s="150"/>
      <c r="U658" s="150"/>
      <c r="V658" s="150"/>
      <c r="W658" s="150"/>
      <c r="X658" s="150"/>
      <c r="Y658" s="150"/>
    </row>
    <row r="659" spans="1:25" ht="16.5" customHeight="1" x14ac:dyDescent="0.2">
      <c r="A659" s="342" t="str">
        <f>"TOTAL - "&amp;'Planilha orçamentária'!F57</f>
        <v>TOTAL - M2</v>
      </c>
      <c r="B659" s="342"/>
      <c r="C659" s="342"/>
      <c r="D659" s="342"/>
      <c r="E659" s="342"/>
      <c r="F659" s="342"/>
      <c r="G659" s="342"/>
      <c r="H659" s="342"/>
      <c r="I659" s="342"/>
      <c r="J659" s="149">
        <f>SUM(J653:J658)</f>
        <v>8429.1059999999998</v>
      </c>
      <c r="K659" s="10"/>
      <c r="L659" s="10"/>
      <c r="M659" s="10"/>
      <c r="N659" s="10"/>
      <c r="O659" s="10"/>
      <c r="P659" s="10"/>
      <c r="Q659" s="10"/>
      <c r="R659" s="10"/>
      <c r="S659" s="10"/>
      <c r="T659" s="10"/>
      <c r="U659" s="10"/>
      <c r="V659" s="10"/>
      <c r="W659" s="10"/>
      <c r="X659" s="10"/>
      <c r="Y659" s="10"/>
    </row>
    <row r="660" spans="1:25" ht="16.5" customHeight="1" x14ac:dyDescent="0.2">
      <c r="A660" s="184" t="str">
        <f>'Planilha orçamentária'!A58</f>
        <v>8.11</v>
      </c>
      <c r="B660" s="343" t="str">
        <f>'Planilha orçamentária'!D58</f>
        <v>Revestimento de gesso em parede, esp. 5mm, aplicação manual (sarrafeado)</v>
      </c>
      <c r="C660" s="344"/>
      <c r="D660" s="344"/>
      <c r="E660" s="344"/>
      <c r="F660" s="344"/>
      <c r="G660" s="344"/>
      <c r="H660" s="344"/>
      <c r="I660" s="344"/>
      <c r="J660" s="344"/>
      <c r="K660" s="10"/>
      <c r="L660" s="10"/>
      <c r="M660" s="10"/>
      <c r="N660" s="10"/>
      <c r="O660" s="10"/>
      <c r="P660" s="10"/>
      <c r="Q660" s="10"/>
      <c r="R660" s="10"/>
      <c r="S660" s="10"/>
      <c r="T660" s="10"/>
      <c r="U660" s="10"/>
      <c r="V660" s="10"/>
      <c r="W660" s="10"/>
      <c r="X660" s="10"/>
      <c r="Y660" s="10"/>
    </row>
    <row r="661" spans="1:25" ht="25.5" customHeight="1" x14ac:dyDescent="0.2">
      <c r="A661" s="327" t="s">
        <v>120</v>
      </c>
      <c r="B661" s="328"/>
      <c r="C661" s="328"/>
      <c r="D661" s="182" t="s">
        <v>307</v>
      </c>
      <c r="E661" s="182" t="s">
        <v>122</v>
      </c>
      <c r="F661" s="181" t="s">
        <v>123</v>
      </c>
      <c r="G661" s="181" t="s">
        <v>493</v>
      </c>
      <c r="H661" s="181" t="s">
        <v>125</v>
      </c>
      <c r="I661" s="182" t="s">
        <v>126</v>
      </c>
      <c r="J661" s="182" t="s">
        <v>113</v>
      </c>
      <c r="K661" s="10"/>
      <c r="L661" s="10"/>
      <c r="M661" s="10"/>
      <c r="N661" s="10"/>
      <c r="O661" s="10"/>
      <c r="P661" s="10"/>
      <c r="Q661" s="10"/>
      <c r="R661" s="10"/>
      <c r="S661" s="10"/>
      <c r="T661" s="10"/>
      <c r="U661" s="10"/>
      <c r="V661" s="10"/>
      <c r="W661" s="10"/>
      <c r="X661" s="10"/>
      <c r="Y661" s="10"/>
    </row>
    <row r="662" spans="1:25" ht="16.5" customHeight="1" x14ac:dyDescent="0.2">
      <c r="A662" s="320" t="s">
        <v>671</v>
      </c>
      <c r="B662" s="320"/>
      <c r="C662" s="33" t="s">
        <v>319</v>
      </c>
      <c r="D662" s="148">
        <f>2.6*2+2.9*2</f>
        <v>11</v>
      </c>
      <c r="E662" s="148"/>
      <c r="F662" s="148">
        <f>2.9-0.12</f>
        <v>2.78</v>
      </c>
      <c r="G662" s="148">
        <v>7</v>
      </c>
      <c r="H662" s="148"/>
      <c r="I662" s="148">
        <f>(1.2*1.2+0.7*2.1)*7</f>
        <v>20.37</v>
      </c>
      <c r="J662" s="170">
        <f t="shared" ref="J662:J713" si="30">PRODUCT(D662:H662)-I662</f>
        <v>193.69</v>
      </c>
      <c r="K662" s="10"/>
      <c r="L662" s="10"/>
      <c r="M662" s="10"/>
      <c r="N662" s="10"/>
      <c r="O662" s="10"/>
      <c r="P662" s="10"/>
      <c r="Q662" s="10"/>
      <c r="R662" s="10"/>
      <c r="S662" s="10"/>
      <c r="T662" s="10"/>
      <c r="U662" s="10"/>
      <c r="V662" s="10"/>
      <c r="W662" s="10"/>
      <c r="X662" s="10"/>
      <c r="Y662" s="10"/>
    </row>
    <row r="663" spans="1:25" ht="16.5" customHeight="1" x14ac:dyDescent="0.2">
      <c r="A663" s="320"/>
      <c r="B663" s="320"/>
      <c r="C663" s="33" t="s">
        <v>320</v>
      </c>
      <c r="D663" s="148">
        <f>2.4*2+2.9*2</f>
        <v>10.6</v>
      </c>
      <c r="E663" s="148"/>
      <c r="F663" s="148">
        <f t="shared" ref="F663:F712" si="31">2.9-0.12</f>
        <v>2.78</v>
      </c>
      <c r="G663" s="148">
        <v>7</v>
      </c>
      <c r="H663" s="148"/>
      <c r="I663" s="148">
        <f>(1.2*1.2+0.7*2.1)*7</f>
        <v>20.37</v>
      </c>
      <c r="J663" s="170">
        <f t="shared" si="30"/>
        <v>185.90599999999998</v>
      </c>
      <c r="K663" s="10"/>
      <c r="L663" s="10"/>
      <c r="M663" s="10"/>
      <c r="N663" s="10"/>
      <c r="O663" s="10"/>
      <c r="P663" s="10"/>
      <c r="Q663" s="10"/>
      <c r="R663" s="10"/>
      <c r="S663" s="10"/>
      <c r="T663" s="10"/>
      <c r="U663" s="10"/>
      <c r="V663" s="10"/>
      <c r="W663" s="10"/>
      <c r="X663" s="10"/>
      <c r="Y663" s="10"/>
    </row>
    <row r="664" spans="1:25" ht="16.5" customHeight="1" x14ac:dyDescent="0.2">
      <c r="A664" s="320"/>
      <c r="B664" s="320"/>
      <c r="C664" s="33" t="s">
        <v>321</v>
      </c>
      <c r="D664" s="148">
        <f>(2.4+5.23+2.4+2.03+1.05+1.2+1.05)</f>
        <v>15.360000000000001</v>
      </c>
      <c r="E664" s="148"/>
      <c r="F664" s="148">
        <f t="shared" si="31"/>
        <v>2.78</v>
      </c>
      <c r="G664" s="148">
        <v>7</v>
      </c>
      <c r="H664" s="148"/>
      <c r="I664" s="148">
        <f>(1.8*1.2+3*0.7*2.1+0.8*2.1)*7</f>
        <v>57.75</v>
      </c>
      <c r="J664" s="170">
        <f t="shared" si="30"/>
        <v>241.15559999999999</v>
      </c>
      <c r="K664" s="10"/>
      <c r="L664" s="10"/>
      <c r="M664" s="10"/>
      <c r="N664" s="10"/>
      <c r="O664" s="10"/>
      <c r="P664" s="10"/>
      <c r="Q664" s="10"/>
      <c r="R664" s="10"/>
      <c r="S664" s="10"/>
      <c r="T664" s="10"/>
      <c r="U664" s="10"/>
      <c r="V664" s="10"/>
      <c r="W664" s="10"/>
      <c r="X664" s="10"/>
      <c r="Y664" s="10"/>
    </row>
    <row r="665" spans="1:25" ht="16.5" customHeight="1" x14ac:dyDescent="0.2">
      <c r="A665" s="320" t="s">
        <v>672</v>
      </c>
      <c r="B665" s="320"/>
      <c r="C665" s="33" t="s">
        <v>319</v>
      </c>
      <c r="D665" s="148">
        <f>2.6*2+2.9*2</f>
        <v>11</v>
      </c>
      <c r="E665" s="148"/>
      <c r="F665" s="148">
        <f t="shared" si="31"/>
        <v>2.78</v>
      </c>
      <c r="G665" s="148">
        <v>7</v>
      </c>
      <c r="H665" s="148"/>
      <c r="I665" s="148">
        <f>(1.2*1.2+0.7*2.1)*7</f>
        <v>20.37</v>
      </c>
      <c r="J665" s="170">
        <f t="shared" si="30"/>
        <v>193.69</v>
      </c>
      <c r="K665" s="10"/>
      <c r="L665" s="10"/>
      <c r="M665" s="10"/>
      <c r="N665" s="10"/>
      <c r="O665" s="10"/>
      <c r="P665" s="10"/>
      <c r="Q665" s="10"/>
      <c r="R665" s="10"/>
      <c r="S665" s="10"/>
      <c r="T665" s="10"/>
      <c r="U665" s="10"/>
      <c r="V665" s="10"/>
      <c r="W665" s="10"/>
      <c r="X665" s="10"/>
      <c r="Y665" s="10"/>
    </row>
    <row r="666" spans="1:25" ht="16.5" customHeight="1" x14ac:dyDescent="0.2">
      <c r="A666" s="320"/>
      <c r="B666" s="320"/>
      <c r="C666" s="33" t="s">
        <v>320</v>
      </c>
      <c r="D666" s="148">
        <f>2.4*2+2.9*2</f>
        <v>10.6</v>
      </c>
      <c r="E666" s="148"/>
      <c r="F666" s="148">
        <f t="shared" si="31"/>
        <v>2.78</v>
      </c>
      <c r="G666" s="148">
        <v>7</v>
      </c>
      <c r="H666" s="148"/>
      <c r="I666" s="148">
        <f>(1.2*1.2+0.7*2.1)*7</f>
        <v>20.37</v>
      </c>
      <c r="J666" s="170">
        <f t="shared" si="30"/>
        <v>185.90599999999998</v>
      </c>
      <c r="K666" s="10"/>
      <c r="L666" s="10"/>
      <c r="M666" s="10"/>
      <c r="N666" s="10"/>
      <c r="O666" s="10"/>
      <c r="P666" s="10"/>
      <c r="Q666" s="10"/>
      <c r="R666" s="10"/>
      <c r="S666" s="10"/>
      <c r="T666" s="10"/>
      <c r="U666" s="10"/>
      <c r="V666" s="10"/>
      <c r="W666" s="10"/>
      <c r="X666" s="10"/>
      <c r="Y666" s="10"/>
    </row>
    <row r="667" spans="1:25" ht="16.5" customHeight="1" x14ac:dyDescent="0.2">
      <c r="A667" s="320"/>
      <c r="B667" s="320"/>
      <c r="C667" s="33" t="s">
        <v>321</v>
      </c>
      <c r="D667" s="148">
        <f>(2.4+5.23+2.4+2.03+1.05+1.2+1.05)</f>
        <v>15.360000000000001</v>
      </c>
      <c r="E667" s="148"/>
      <c r="F667" s="148">
        <f t="shared" si="31"/>
        <v>2.78</v>
      </c>
      <c r="G667" s="148">
        <v>7</v>
      </c>
      <c r="H667" s="148"/>
      <c r="I667" s="148">
        <f>(1.8*1.2+3*0.7*2.1+0.8*2.1)*7</f>
        <v>57.75</v>
      </c>
      <c r="J667" s="170">
        <f t="shared" si="30"/>
        <v>241.15559999999999</v>
      </c>
      <c r="K667" s="10"/>
      <c r="L667" s="10"/>
      <c r="M667" s="10"/>
      <c r="N667" s="10"/>
      <c r="O667" s="10"/>
      <c r="P667" s="10"/>
      <c r="Q667" s="10"/>
      <c r="R667" s="10"/>
      <c r="S667" s="10"/>
      <c r="T667" s="10"/>
      <c r="U667" s="10"/>
      <c r="V667" s="10"/>
      <c r="W667" s="10"/>
      <c r="X667" s="10"/>
      <c r="Y667" s="10"/>
    </row>
    <row r="668" spans="1:25" ht="16.5" customHeight="1" x14ac:dyDescent="0.2">
      <c r="A668" s="320" t="s">
        <v>673</v>
      </c>
      <c r="B668" s="320"/>
      <c r="C668" s="33" t="s">
        <v>319</v>
      </c>
      <c r="D668" s="148">
        <f>2.6*2+2.9*2</f>
        <v>11</v>
      </c>
      <c r="E668" s="148"/>
      <c r="F668" s="148">
        <f t="shared" si="31"/>
        <v>2.78</v>
      </c>
      <c r="G668" s="148">
        <v>7</v>
      </c>
      <c r="H668" s="148"/>
      <c r="I668" s="148">
        <f>(1.2*1.2+0.8*2.1)*7</f>
        <v>21.84</v>
      </c>
      <c r="J668" s="170">
        <f t="shared" si="30"/>
        <v>192.22</v>
      </c>
      <c r="K668" s="10"/>
      <c r="L668" s="10"/>
      <c r="M668" s="10"/>
      <c r="N668" s="10"/>
      <c r="O668" s="10"/>
      <c r="P668" s="10"/>
      <c r="Q668" s="10"/>
      <c r="R668" s="10"/>
      <c r="S668" s="10"/>
      <c r="T668" s="10"/>
      <c r="U668" s="10"/>
      <c r="V668" s="10"/>
      <c r="W668" s="10"/>
      <c r="X668" s="10"/>
      <c r="Y668" s="10"/>
    </row>
    <row r="669" spans="1:25" ht="16.5" customHeight="1" x14ac:dyDescent="0.2">
      <c r="A669" s="320"/>
      <c r="B669" s="320"/>
      <c r="C669" s="33" t="s">
        <v>320</v>
      </c>
      <c r="D669" s="148">
        <f>2.4*2+2.9*2</f>
        <v>10.6</v>
      </c>
      <c r="E669" s="148"/>
      <c r="F669" s="148">
        <f t="shared" si="31"/>
        <v>2.78</v>
      </c>
      <c r="G669" s="148">
        <v>7</v>
      </c>
      <c r="H669" s="148"/>
      <c r="I669" s="148">
        <f>(1.2*1.2+0.8*2.1)*7</f>
        <v>21.84</v>
      </c>
      <c r="J669" s="170">
        <f t="shared" si="30"/>
        <v>184.43599999999998</v>
      </c>
      <c r="K669" s="10"/>
      <c r="L669" s="10"/>
      <c r="M669" s="10"/>
      <c r="N669" s="10"/>
      <c r="O669" s="10"/>
      <c r="P669" s="10"/>
      <c r="Q669" s="10"/>
      <c r="R669" s="10"/>
      <c r="S669" s="10"/>
      <c r="T669" s="10"/>
      <c r="U669" s="10"/>
      <c r="V669" s="10"/>
      <c r="W669" s="10"/>
      <c r="X669" s="10"/>
      <c r="Y669" s="10"/>
    </row>
    <row r="670" spans="1:25" ht="16.5" customHeight="1" x14ac:dyDescent="0.2">
      <c r="A670" s="320"/>
      <c r="B670" s="320"/>
      <c r="C670" s="33" t="s">
        <v>321</v>
      </c>
      <c r="D670" s="148">
        <f>(2.4+5.23+2.4+2.03+1.05+1.2+1.05)</f>
        <v>15.360000000000001</v>
      </c>
      <c r="E670" s="148"/>
      <c r="F670" s="148">
        <f t="shared" si="31"/>
        <v>2.78</v>
      </c>
      <c r="G670" s="148">
        <v>7</v>
      </c>
      <c r="H670" s="148"/>
      <c r="I670" s="148">
        <f>(1.8*1.2+4*0.8*2.1)*7</f>
        <v>62.160000000000004</v>
      </c>
      <c r="J670" s="170">
        <f t="shared" si="30"/>
        <v>236.7456</v>
      </c>
      <c r="K670" s="10"/>
      <c r="L670" s="10"/>
      <c r="M670" s="10"/>
      <c r="N670" s="10"/>
      <c r="O670" s="10"/>
      <c r="P670" s="10"/>
      <c r="Q670" s="10"/>
      <c r="R670" s="10"/>
      <c r="S670" s="10"/>
      <c r="T670" s="10"/>
      <c r="U670" s="10"/>
      <c r="V670" s="10"/>
      <c r="W670" s="10"/>
      <c r="X670" s="10"/>
      <c r="Y670" s="10"/>
    </row>
    <row r="671" spans="1:25" ht="16.5" customHeight="1" x14ac:dyDescent="0.2">
      <c r="A671" s="320" t="s">
        <v>674</v>
      </c>
      <c r="B671" s="320"/>
      <c r="C671" s="33" t="s">
        <v>319</v>
      </c>
      <c r="D671" s="148">
        <f>2.6*2+2.9*2</f>
        <v>11</v>
      </c>
      <c r="E671" s="148"/>
      <c r="F671" s="148">
        <f t="shared" si="31"/>
        <v>2.78</v>
      </c>
      <c r="G671" s="148">
        <v>7</v>
      </c>
      <c r="H671" s="148"/>
      <c r="I671" s="148">
        <f>(1.2*1.2+0.7*2.1)*7</f>
        <v>20.37</v>
      </c>
      <c r="J671" s="170">
        <f t="shared" si="30"/>
        <v>193.69</v>
      </c>
      <c r="K671" s="10"/>
      <c r="L671" s="10">
        <v>2.91</v>
      </c>
      <c r="M671" s="10"/>
      <c r="N671" s="10"/>
      <c r="O671" s="10"/>
      <c r="P671" s="10"/>
      <c r="Q671" s="10"/>
      <c r="R671" s="10"/>
      <c r="S671" s="10"/>
      <c r="T671" s="10"/>
      <c r="U671" s="10"/>
      <c r="V671" s="10"/>
      <c r="W671" s="10"/>
      <c r="X671" s="10"/>
      <c r="Y671" s="10"/>
    </row>
    <row r="672" spans="1:25" ht="16.5" customHeight="1" x14ac:dyDescent="0.2">
      <c r="A672" s="320"/>
      <c r="B672" s="320"/>
      <c r="C672" s="33" t="s">
        <v>320</v>
      </c>
      <c r="D672" s="148">
        <f>2.4*2+2.9*2</f>
        <v>10.6</v>
      </c>
      <c r="E672" s="148"/>
      <c r="F672" s="148">
        <f t="shared" si="31"/>
        <v>2.78</v>
      </c>
      <c r="G672" s="148">
        <v>7</v>
      </c>
      <c r="H672" s="148"/>
      <c r="I672" s="148">
        <f>(1.2*1.2+0.7*2.1)*7</f>
        <v>20.37</v>
      </c>
      <c r="J672" s="170">
        <f t="shared" si="30"/>
        <v>185.90599999999998</v>
      </c>
      <c r="K672" s="10"/>
      <c r="L672" s="10">
        <v>2.91</v>
      </c>
      <c r="M672" s="10"/>
      <c r="N672" s="10"/>
      <c r="O672" s="10"/>
      <c r="P672" s="10"/>
      <c r="Q672" s="10"/>
      <c r="R672" s="10"/>
      <c r="S672" s="10"/>
      <c r="T672" s="10"/>
      <c r="U672" s="10"/>
      <c r="V672" s="10"/>
      <c r="W672" s="10"/>
      <c r="X672" s="10"/>
      <c r="Y672" s="10"/>
    </row>
    <row r="673" spans="1:25" ht="16.5" customHeight="1" x14ac:dyDescent="0.2">
      <c r="A673" s="320"/>
      <c r="B673" s="320"/>
      <c r="C673" s="33" t="s">
        <v>321</v>
      </c>
      <c r="D673" s="148">
        <f>(2.4+5.23+2.4+2.03+1.05+1.2+1.05)</f>
        <v>15.360000000000001</v>
      </c>
      <c r="E673" s="148"/>
      <c r="F673" s="148">
        <f t="shared" si="31"/>
        <v>2.78</v>
      </c>
      <c r="G673" s="148">
        <v>7</v>
      </c>
      <c r="H673" s="148"/>
      <c r="I673" s="148">
        <f>(1.8*1.2+3*0.7*2.1+0.8*2.1)*7</f>
        <v>57.75</v>
      </c>
      <c r="J673" s="170">
        <f t="shared" si="30"/>
        <v>241.15559999999999</v>
      </c>
      <c r="K673" s="10"/>
      <c r="L673" s="10">
        <v>8.25</v>
      </c>
      <c r="M673" s="10"/>
      <c r="N673" s="10"/>
      <c r="O673" s="10"/>
      <c r="P673" s="10"/>
      <c r="Q673" s="10"/>
      <c r="R673" s="10"/>
      <c r="S673" s="10"/>
      <c r="T673" s="10"/>
      <c r="U673" s="10"/>
      <c r="V673" s="10"/>
      <c r="W673" s="10"/>
      <c r="X673" s="10"/>
      <c r="Y673" s="10"/>
    </row>
    <row r="674" spans="1:25" ht="16.5" customHeight="1" x14ac:dyDescent="0.2">
      <c r="A674" s="318" t="s">
        <v>784</v>
      </c>
      <c r="B674" s="319"/>
      <c r="C674" s="33" t="s">
        <v>323</v>
      </c>
      <c r="D674" s="148">
        <f>4.44*2+4.63*2+2.03+0.87*2+0.15*2+0.72*2+1.74</f>
        <v>25.39</v>
      </c>
      <c r="E674" s="148"/>
      <c r="F674" s="148">
        <f t="shared" si="31"/>
        <v>2.78</v>
      </c>
      <c r="G674" s="148">
        <v>7</v>
      </c>
      <c r="H674" s="148"/>
      <c r="I674" s="148">
        <f>(4*0.8*2.1+2*0.6*1.2+0.8*1.6)*7</f>
        <v>66.080000000000013</v>
      </c>
      <c r="J674" s="170">
        <f t="shared" si="30"/>
        <v>428.00939999999991</v>
      </c>
      <c r="K674" s="10"/>
      <c r="L674" s="10"/>
      <c r="M674" s="10"/>
      <c r="N674" s="10"/>
      <c r="O674" s="10"/>
      <c r="P674" s="10"/>
      <c r="Q674" s="10"/>
      <c r="R674" s="10"/>
      <c r="S674" s="10"/>
      <c r="T674" s="10"/>
      <c r="U674" s="10"/>
      <c r="V674" s="10"/>
      <c r="W674" s="10"/>
      <c r="X674" s="10"/>
      <c r="Y674" s="10"/>
    </row>
    <row r="675" spans="1:25" ht="16.5" customHeight="1" x14ac:dyDescent="0.2">
      <c r="A675" s="320" t="s">
        <v>675</v>
      </c>
      <c r="B675" s="320"/>
      <c r="C675" s="33" t="s">
        <v>319</v>
      </c>
      <c r="D675" s="148">
        <f>2.6*2+2.9*2</f>
        <v>11</v>
      </c>
      <c r="E675" s="148"/>
      <c r="F675" s="148">
        <f t="shared" si="31"/>
        <v>2.78</v>
      </c>
      <c r="G675" s="148">
        <v>7</v>
      </c>
      <c r="H675" s="148"/>
      <c r="I675" s="148">
        <f>(1.2*1.2+0.7*2.1)*7</f>
        <v>20.37</v>
      </c>
      <c r="J675" s="170">
        <f t="shared" si="30"/>
        <v>193.69</v>
      </c>
      <c r="K675" s="10"/>
      <c r="L675" s="10"/>
      <c r="M675" s="10"/>
      <c r="N675" s="10"/>
      <c r="O675" s="10"/>
      <c r="P675" s="10"/>
      <c r="Q675" s="10"/>
      <c r="R675" s="10"/>
      <c r="S675" s="10"/>
      <c r="T675" s="10"/>
      <c r="U675" s="10"/>
      <c r="V675" s="10"/>
      <c r="W675" s="10"/>
      <c r="X675" s="10"/>
      <c r="Y675" s="10"/>
    </row>
    <row r="676" spans="1:25" ht="16.5" customHeight="1" x14ac:dyDescent="0.2">
      <c r="A676" s="320"/>
      <c r="B676" s="320"/>
      <c r="C676" s="33" t="s">
        <v>320</v>
      </c>
      <c r="D676" s="148">
        <f>2.4*2+2.9*2</f>
        <v>10.6</v>
      </c>
      <c r="E676" s="148"/>
      <c r="F676" s="148">
        <f t="shared" si="31"/>
        <v>2.78</v>
      </c>
      <c r="G676" s="148">
        <v>7</v>
      </c>
      <c r="H676" s="148"/>
      <c r="I676" s="148">
        <f>(1.2*1.2+0.7*2.1)*7</f>
        <v>20.37</v>
      </c>
      <c r="J676" s="170">
        <f t="shared" si="30"/>
        <v>185.90599999999998</v>
      </c>
      <c r="K676" s="10"/>
      <c r="L676" s="10"/>
      <c r="M676" s="10"/>
      <c r="N676" s="10"/>
      <c r="O676" s="10"/>
      <c r="P676" s="10"/>
      <c r="Q676" s="10"/>
      <c r="R676" s="10"/>
      <c r="S676" s="10"/>
      <c r="T676" s="10"/>
      <c r="U676" s="10"/>
      <c r="V676" s="10"/>
      <c r="W676" s="10"/>
      <c r="X676" s="10"/>
      <c r="Y676" s="10"/>
    </row>
    <row r="677" spans="1:25" ht="16.5" customHeight="1" x14ac:dyDescent="0.2">
      <c r="A677" s="320"/>
      <c r="B677" s="320"/>
      <c r="C677" s="33" t="s">
        <v>321</v>
      </c>
      <c r="D677" s="148">
        <f>(2.4+5.23+2.4+2.03+1.05+1.2+1.05)</f>
        <v>15.360000000000001</v>
      </c>
      <c r="E677" s="148"/>
      <c r="F677" s="148">
        <f t="shared" si="31"/>
        <v>2.78</v>
      </c>
      <c r="G677" s="148">
        <v>7</v>
      </c>
      <c r="H677" s="148"/>
      <c r="I677" s="148">
        <f>(1.8*1.2+3*0.7*2.1+0.8*2.1)*7</f>
        <v>57.75</v>
      </c>
      <c r="J677" s="170">
        <f t="shared" si="30"/>
        <v>241.15559999999999</v>
      </c>
      <c r="K677" s="10"/>
      <c r="L677" s="10"/>
      <c r="M677" s="10"/>
      <c r="N677" s="10"/>
      <c r="O677" s="10"/>
      <c r="P677" s="10"/>
      <c r="Q677" s="10"/>
      <c r="R677" s="10"/>
      <c r="S677" s="10"/>
      <c r="T677" s="10"/>
      <c r="U677" s="10"/>
      <c r="V677" s="10"/>
      <c r="W677" s="10"/>
      <c r="X677" s="10"/>
      <c r="Y677" s="10"/>
    </row>
    <row r="678" spans="1:25" ht="16.5" customHeight="1" x14ac:dyDescent="0.2">
      <c r="A678" s="320" t="s">
        <v>676</v>
      </c>
      <c r="B678" s="320"/>
      <c r="C678" s="33" t="s">
        <v>319</v>
      </c>
      <c r="D678" s="148">
        <f>2.6*2+2.9*2</f>
        <v>11</v>
      </c>
      <c r="E678" s="148"/>
      <c r="F678" s="148">
        <f t="shared" si="31"/>
        <v>2.78</v>
      </c>
      <c r="G678" s="148">
        <v>7</v>
      </c>
      <c r="H678" s="148"/>
      <c r="I678" s="148">
        <f>(1.2*1.2+0.7*2.1)*7</f>
        <v>20.37</v>
      </c>
      <c r="J678" s="170">
        <f t="shared" si="30"/>
        <v>193.69</v>
      </c>
      <c r="K678" s="10"/>
      <c r="L678" s="10"/>
      <c r="M678" s="10"/>
      <c r="N678" s="10"/>
      <c r="O678" s="10"/>
      <c r="P678" s="10"/>
      <c r="Q678" s="10"/>
      <c r="R678" s="10"/>
      <c r="S678" s="10"/>
      <c r="T678" s="10"/>
      <c r="U678" s="10"/>
      <c r="V678" s="10"/>
      <c r="W678" s="10"/>
      <c r="X678" s="10"/>
      <c r="Y678" s="10"/>
    </row>
    <row r="679" spans="1:25" ht="16.5" customHeight="1" x14ac:dyDescent="0.2">
      <c r="A679" s="320"/>
      <c r="B679" s="320"/>
      <c r="C679" s="33" t="s">
        <v>320</v>
      </c>
      <c r="D679" s="148">
        <f>2.4*2+2.9*2</f>
        <v>10.6</v>
      </c>
      <c r="E679" s="148"/>
      <c r="F679" s="148">
        <f t="shared" si="31"/>
        <v>2.78</v>
      </c>
      <c r="G679" s="148">
        <v>7</v>
      </c>
      <c r="H679" s="148"/>
      <c r="I679" s="148">
        <f>(1.2*1.2+0.7*2.1)*7</f>
        <v>20.37</v>
      </c>
      <c r="J679" s="170">
        <f t="shared" si="30"/>
        <v>185.90599999999998</v>
      </c>
      <c r="K679" s="10"/>
      <c r="L679" s="10"/>
      <c r="M679" s="10"/>
      <c r="N679" s="10"/>
      <c r="O679" s="10"/>
      <c r="P679" s="10"/>
      <c r="Q679" s="10"/>
      <c r="R679" s="10"/>
      <c r="S679" s="10"/>
      <c r="T679" s="10"/>
      <c r="U679" s="10"/>
      <c r="V679" s="10"/>
      <c r="W679" s="10"/>
      <c r="X679" s="10"/>
      <c r="Y679" s="10"/>
    </row>
    <row r="680" spans="1:25" ht="16.5" customHeight="1" x14ac:dyDescent="0.2">
      <c r="A680" s="320"/>
      <c r="B680" s="320"/>
      <c r="C680" s="33" t="s">
        <v>321</v>
      </c>
      <c r="D680" s="148">
        <f>(2.4+5.23+2.4+2.03+1.05+1.2+1.05)</f>
        <v>15.360000000000001</v>
      </c>
      <c r="E680" s="148"/>
      <c r="F680" s="148">
        <f t="shared" si="31"/>
        <v>2.78</v>
      </c>
      <c r="G680" s="148">
        <v>7</v>
      </c>
      <c r="H680" s="148"/>
      <c r="I680" s="148">
        <f>(1.8*1.2+3*0.7*2.1+0.8*2.1)*7</f>
        <v>57.75</v>
      </c>
      <c r="J680" s="170">
        <f t="shared" si="30"/>
        <v>241.15559999999999</v>
      </c>
      <c r="K680" s="10"/>
      <c r="L680" s="10"/>
      <c r="M680" s="10"/>
      <c r="N680" s="10"/>
      <c r="O680" s="10"/>
      <c r="P680" s="10"/>
      <c r="Q680" s="10"/>
      <c r="R680" s="10"/>
      <c r="S680" s="10"/>
      <c r="T680" s="10"/>
      <c r="U680" s="10"/>
      <c r="V680" s="10"/>
      <c r="W680" s="10"/>
      <c r="X680" s="10"/>
      <c r="Y680" s="10"/>
    </row>
    <row r="681" spans="1:25" ht="16.5" customHeight="1" x14ac:dyDescent="0.2">
      <c r="A681" s="320" t="s">
        <v>677</v>
      </c>
      <c r="B681" s="320"/>
      <c r="C681" s="33" t="s">
        <v>319</v>
      </c>
      <c r="D681" s="148">
        <f>2.6*2+2.9*2</f>
        <v>11</v>
      </c>
      <c r="E681" s="148"/>
      <c r="F681" s="148">
        <f t="shared" si="31"/>
        <v>2.78</v>
      </c>
      <c r="G681" s="148">
        <v>7</v>
      </c>
      <c r="H681" s="148"/>
      <c r="I681" s="148">
        <f>(1.2*1.2+0.7*2.1)*7</f>
        <v>20.37</v>
      </c>
      <c r="J681" s="170">
        <f t="shared" si="30"/>
        <v>193.69</v>
      </c>
      <c r="K681" s="10"/>
      <c r="L681" s="10"/>
      <c r="M681" s="10"/>
      <c r="N681" s="10"/>
      <c r="O681" s="10"/>
      <c r="P681" s="10"/>
      <c r="Q681" s="10"/>
      <c r="R681" s="10"/>
      <c r="S681" s="10"/>
      <c r="T681" s="10"/>
      <c r="U681" s="10"/>
      <c r="V681" s="10"/>
      <c r="W681" s="10"/>
      <c r="X681" s="10"/>
      <c r="Y681" s="10"/>
    </row>
    <row r="682" spans="1:25" ht="16.5" customHeight="1" x14ac:dyDescent="0.2">
      <c r="A682" s="320"/>
      <c r="B682" s="320"/>
      <c r="C682" s="33" t="s">
        <v>320</v>
      </c>
      <c r="D682" s="148">
        <f>2.4*2+2.9*2</f>
        <v>10.6</v>
      </c>
      <c r="E682" s="148"/>
      <c r="F682" s="148">
        <f t="shared" si="31"/>
        <v>2.78</v>
      </c>
      <c r="G682" s="148">
        <v>7</v>
      </c>
      <c r="H682" s="148"/>
      <c r="I682" s="148">
        <f>(1.2*1.2+0.7*2.1)*7</f>
        <v>20.37</v>
      </c>
      <c r="J682" s="170">
        <f t="shared" si="30"/>
        <v>185.90599999999998</v>
      </c>
      <c r="K682" s="10"/>
      <c r="L682" s="10"/>
      <c r="M682" s="10"/>
      <c r="N682" s="10"/>
      <c r="O682" s="10"/>
      <c r="P682" s="10"/>
      <c r="Q682" s="10"/>
      <c r="R682" s="10"/>
      <c r="S682" s="10"/>
      <c r="T682" s="10"/>
      <c r="U682" s="10"/>
      <c r="V682" s="10"/>
      <c r="W682" s="10"/>
      <c r="X682" s="10"/>
      <c r="Y682" s="10"/>
    </row>
    <row r="683" spans="1:25" ht="16.5" customHeight="1" x14ac:dyDescent="0.2">
      <c r="A683" s="320"/>
      <c r="B683" s="320"/>
      <c r="C683" s="33" t="s">
        <v>321</v>
      </c>
      <c r="D683" s="148">
        <f>(2.4+5.23+2.4+2.03+1.05+1.2+1.05)</f>
        <v>15.360000000000001</v>
      </c>
      <c r="E683" s="148"/>
      <c r="F683" s="148">
        <f t="shared" si="31"/>
        <v>2.78</v>
      </c>
      <c r="G683" s="148">
        <v>7</v>
      </c>
      <c r="H683" s="148"/>
      <c r="I683" s="148">
        <f>(1.8*1.2+3*0.7*2.1+0.8*2.1)*7</f>
        <v>57.75</v>
      </c>
      <c r="J683" s="170">
        <f t="shared" si="30"/>
        <v>241.15559999999999</v>
      </c>
      <c r="K683" s="10"/>
      <c r="L683" s="10"/>
      <c r="M683" s="10"/>
      <c r="N683" s="10"/>
      <c r="O683" s="10"/>
      <c r="P683" s="10"/>
      <c r="Q683" s="10"/>
      <c r="R683" s="10"/>
      <c r="S683" s="10"/>
      <c r="T683" s="10"/>
      <c r="U683" s="10"/>
      <c r="V683" s="10"/>
      <c r="W683" s="10"/>
      <c r="X683" s="10"/>
      <c r="Y683" s="10"/>
    </row>
    <row r="684" spans="1:25" ht="16.5" customHeight="1" x14ac:dyDescent="0.2">
      <c r="A684" s="320" t="s">
        <v>678</v>
      </c>
      <c r="B684" s="320"/>
      <c r="C684" s="33" t="s">
        <v>319</v>
      </c>
      <c r="D684" s="148">
        <f>2.6*2+2.9*2</f>
        <v>11</v>
      </c>
      <c r="E684" s="148"/>
      <c r="F684" s="148">
        <f t="shared" si="31"/>
        <v>2.78</v>
      </c>
      <c r="G684" s="148">
        <v>7</v>
      </c>
      <c r="H684" s="148"/>
      <c r="I684" s="148">
        <f>(1.2*1.2+0.7*2.1)*7</f>
        <v>20.37</v>
      </c>
      <c r="J684" s="170">
        <f t="shared" si="30"/>
        <v>193.69</v>
      </c>
      <c r="K684" s="10"/>
      <c r="L684" s="10"/>
      <c r="M684" s="10"/>
      <c r="N684" s="10"/>
      <c r="O684" s="10"/>
      <c r="P684" s="10"/>
      <c r="Q684" s="10"/>
      <c r="R684" s="10"/>
      <c r="S684" s="10"/>
      <c r="T684" s="10"/>
      <c r="U684" s="10"/>
      <c r="V684" s="10"/>
      <c r="W684" s="10"/>
      <c r="X684" s="10"/>
      <c r="Y684" s="10"/>
    </row>
    <row r="685" spans="1:25" ht="16.5" customHeight="1" x14ac:dyDescent="0.2">
      <c r="A685" s="320"/>
      <c r="B685" s="320"/>
      <c r="C685" s="33" t="s">
        <v>320</v>
      </c>
      <c r="D685" s="148">
        <f>2.4*2+2.9*2</f>
        <v>10.6</v>
      </c>
      <c r="E685" s="148"/>
      <c r="F685" s="148">
        <f t="shared" si="31"/>
        <v>2.78</v>
      </c>
      <c r="G685" s="148">
        <v>7</v>
      </c>
      <c r="H685" s="148"/>
      <c r="I685" s="148">
        <f>(1.2*1.2+0.7*2.1)*7</f>
        <v>20.37</v>
      </c>
      <c r="J685" s="170">
        <f t="shared" si="30"/>
        <v>185.90599999999998</v>
      </c>
      <c r="K685" s="10"/>
      <c r="L685" s="10"/>
      <c r="M685" s="10"/>
      <c r="N685" s="10"/>
      <c r="O685" s="10"/>
      <c r="P685" s="10"/>
      <c r="Q685" s="10"/>
      <c r="R685" s="10"/>
      <c r="S685" s="10"/>
      <c r="T685" s="10"/>
      <c r="U685" s="10"/>
      <c r="V685" s="10"/>
      <c r="W685" s="10"/>
      <c r="X685" s="10"/>
      <c r="Y685" s="10"/>
    </row>
    <row r="686" spans="1:25" ht="16.5" customHeight="1" x14ac:dyDescent="0.2">
      <c r="A686" s="320"/>
      <c r="B686" s="320"/>
      <c r="C686" s="33" t="s">
        <v>321</v>
      </c>
      <c r="D686" s="148">
        <f>(2.4+5.23+2.4+2.03+1.05+1.2+1.05)</f>
        <v>15.360000000000001</v>
      </c>
      <c r="E686" s="148"/>
      <c r="F686" s="148">
        <f t="shared" si="31"/>
        <v>2.78</v>
      </c>
      <c r="G686" s="148">
        <v>7</v>
      </c>
      <c r="H686" s="148"/>
      <c r="I686" s="148">
        <f>(1.8*1.2+3*0.7*2.1+0.8*2.1)*7</f>
        <v>57.75</v>
      </c>
      <c r="J686" s="170">
        <f t="shared" si="30"/>
        <v>241.15559999999999</v>
      </c>
      <c r="K686" s="10"/>
      <c r="L686" s="10"/>
      <c r="M686" s="10"/>
      <c r="N686" s="10"/>
      <c r="O686" s="10"/>
      <c r="P686" s="10"/>
      <c r="Q686" s="10"/>
      <c r="R686" s="10"/>
      <c r="S686" s="10"/>
      <c r="T686" s="10"/>
      <c r="U686" s="10"/>
      <c r="V686" s="10"/>
      <c r="W686" s="10"/>
      <c r="X686" s="10"/>
      <c r="Y686" s="10"/>
    </row>
    <row r="687" spans="1:25" ht="16.5" customHeight="1" x14ac:dyDescent="0.2">
      <c r="A687" s="318" t="s">
        <v>785</v>
      </c>
      <c r="B687" s="319"/>
      <c r="C687" s="33" t="s">
        <v>323</v>
      </c>
      <c r="D687" s="148">
        <f>4.44*2+4.63*2+2.03+0.87*2+0.15*2+0.72*2+1.74</f>
        <v>25.39</v>
      </c>
      <c r="E687" s="148"/>
      <c r="F687" s="148">
        <f t="shared" si="31"/>
        <v>2.78</v>
      </c>
      <c r="G687" s="148">
        <v>7</v>
      </c>
      <c r="H687" s="148"/>
      <c r="I687" s="148">
        <f>(4*0.8*2.1+2*0.6*1.2+0.8*1.6)*7</f>
        <v>66.080000000000013</v>
      </c>
      <c r="J687" s="170">
        <f t="shared" si="30"/>
        <v>428.00939999999991</v>
      </c>
      <c r="K687" s="10"/>
      <c r="L687" s="10"/>
      <c r="M687" s="10"/>
      <c r="N687" s="10"/>
      <c r="O687" s="10"/>
      <c r="P687" s="10"/>
      <c r="Q687" s="10"/>
      <c r="R687" s="10"/>
      <c r="S687" s="10"/>
      <c r="T687" s="10"/>
      <c r="U687" s="10"/>
      <c r="V687" s="10"/>
      <c r="W687" s="10"/>
      <c r="X687" s="10"/>
      <c r="Y687" s="10"/>
    </row>
    <row r="688" spans="1:25" ht="16.5" customHeight="1" x14ac:dyDescent="0.2">
      <c r="A688" s="320" t="s">
        <v>679</v>
      </c>
      <c r="B688" s="320"/>
      <c r="C688" s="33" t="s">
        <v>319</v>
      </c>
      <c r="D688" s="148">
        <f>2.6*2+2.9*2</f>
        <v>11</v>
      </c>
      <c r="E688" s="148"/>
      <c r="F688" s="148">
        <f t="shared" si="31"/>
        <v>2.78</v>
      </c>
      <c r="G688" s="148">
        <v>7</v>
      </c>
      <c r="H688" s="148"/>
      <c r="I688" s="148">
        <f>(1.2*1.2+0.7*2.1)*7</f>
        <v>20.37</v>
      </c>
      <c r="J688" s="170">
        <f t="shared" si="30"/>
        <v>193.69</v>
      </c>
      <c r="K688" s="10"/>
      <c r="L688" s="10"/>
      <c r="M688" s="10"/>
      <c r="N688" s="10"/>
      <c r="O688" s="10"/>
      <c r="P688" s="10"/>
      <c r="Q688" s="10"/>
      <c r="R688" s="10"/>
      <c r="S688" s="10"/>
      <c r="T688" s="10"/>
      <c r="U688" s="10"/>
      <c r="V688" s="10"/>
      <c r="W688" s="10"/>
      <c r="X688" s="10"/>
      <c r="Y688" s="10"/>
    </row>
    <row r="689" spans="1:25" ht="16.5" customHeight="1" x14ac:dyDescent="0.2">
      <c r="A689" s="320"/>
      <c r="B689" s="320"/>
      <c r="C689" s="33" t="s">
        <v>320</v>
      </c>
      <c r="D689" s="148">
        <f>2.4*2+2.9*2</f>
        <v>10.6</v>
      </c>
      <c r="E689" s="148"/>
      <c r="F689" s="148">
        <f t="shared" si="31"/>
        <v>2.78</v>
      </c>
      <c r="G689" s="148">
        <v>7</v>
      </c>
      <c r="H689" s="148"/>
      <c r="I689" s="148">
        <f>(1.2*1.2+0.7*2.1)*7</f>
        <v>20.37</v>
      </c>
      <c r="J689" s="170">
        <f t="shared" si="30"/>
        <v>185.90599999999998</v>
      </c>
      <c r="K689" s="10"/>
      <c r="L689" s="10"/>
      <c r="M689" s="10"/>
      <c r="N689" s="10"/>
      <c r="O689" s="10"/>
      <c r="P689" s="10"/>
      <c r="Q689" s="10"/>
      <c r="R689" s="10"/>
      <c r="S689" s="10"/>
      <c r="T689" s="10"/>
      <c r="U689" s="10"/>
      <c r="V689" s="10"/>
      <c r="W689" s="10"/>
      <c r="X689" s="10"/>
      <c r="Y689" s="10"/>
    </row>
    <row r="690" spans="1:25" ht="16.5" customHeight="1" x14ac:dyDescent="0.2">
      <c r="A690" s="320"/>
      <c r="B690" s="320"/>
      <c r="C690" s="33" t="s">
        <v>321</v>
      </c>
      <c r="D690" s="148">
        <f>(2.4+5.23+2.4+2.03+1.05+1.2+1.05)</f>
        <v>15.360000000000001</v>
      </c>
      <c r="E690" s="148"/>
      <c r="F690" s="148">
        <f t="shared" si="31"/>
        <v>2.78</v>
      </c>
      <c r="G690" s="148">
        <v>7</v>
      </c>
      <c r="H690" s="148"/>
      <c r="I690" s="148">
        <f>(1.8*1.2+3*0.7*2.1+0.8*2.1)*7</f>
        <v>57.75</v>
      </c>
      <c r="J690" s="170">
        <f t="shared" si="30"/>
        <v>241.15559999999999</v>
      </c>
      <c r="K690" s="10"/>
      <c r="L690" s="10"/>
      <c r="M690" s="10"/>
      <c r="N690" s="10"/>
      <c r="O690" s="10"/>
      <c r="P690" s="10"/>
      <c r="Q690" s="10"/>
      <c r="R690" s="10"/>
      <c r="S690" s="10"/>
      <c r="T690" s="10"/>
      <c r="U690" s="10"/>
      <c r="V690" s="10"/>
      <c r="W690" s="10"/>
      <c r="X690" s="10"/>
      <c r="Y690" s="10"/>
    </row>
    <row r="691" spans="1:25" ht="16.5" customHeight="1" x14ac:dyDescent="0.2">
      <c r="A691" s="320" t="s">
        <v>769</v>
      </c>
      <c r="B691" s="320"/>
      <c r="C691" s="33" t="s">
        <v>319</v>
      </c>
      <c r="D691" s="148">
        <f>2.6*2+2.9*2</f>
        <v>11</v>
      </c>
      <c r="E691" s="148"/>
      <c r="F691" s="148">
        <f t="shared" si="31"/>
        <v>2.78</v>
      </c>
      <c r="G691" s="148">
        <v>7</v>
      </c>
      <c r="H691" s="148"/>
      <c r="I691" s="148">
        <f>(1.2*1.2+0.7*2.1)*7</f>
        <v>20.37</v>
      </c>
      <c r="J691" s="170">
        <f t="shared" si="30"/>
        <v>193.69</v>
      </c>
      <c r="K691" s="10"/>
      <c r="L691" s="10"/>
      <c r="M691" s="10"/>
      <c r="N691" s="10"/>
      <c r="O691" s="10"/>
      <c r="P691" s="10"/>
      <c r="Q691" s="10"/>
      <c r="R691" s="10"/>
      <c r="S691" s="10"/>
      <c r="T691" s="10"/>
      <c r="U691" s="10"/>
      <c r="V691" s="10"/>
      <c r="W691" s="10"/>
      <c r="X691" s="10"/>
      <c r="Y691" s="10"/>
    </row>
    <row r="692" spans="1:25" ht="16.5" customHeight="1" x14ac:dyDescent="0.2">
      <c r="A692" s="320"/>
      <c r="B692" s="320"/>
      <c r="C692" s="33" t="s">
        <v>320</v>
      </c>
      <c r="D692" s="148">
        <f>2.4*2+2.9*2</f>
        <v>10.6</v>
      </c>
      <c r="E692" s="148"/>
      <c r="F692" s="148">
        <f t="shared" si="31"/>
        <v>2.78</v>
      </c>
      <c r="G692" s="148">
        <v>7</v>
      </c>
      <c r="H692" s="148"/>
      <c r="I692" s="148">
        <f>(1.2*1.2+0.7*2.1)*7</f>
        <v>20.37</v>
      </c>
      <c r="J692" s="170">
        <f t="shared" si="30"/>
        <v>185.90599999999998</v>
      </c>
      <c r="K692" s="10"/>
      <c r="L692" s="10"/>
      <c r="M692" s="10"/>
      <c r="N692" s="10"/>
      <c r="O692" s="10"/>
      <c r="P692" s="10"/>
      <c r="Q692" s="10"/>
      <c r="R692" s="10"/>
      <c r="S692" s="10"/>
      <c r="T692" s="10"/>
      <c r="U692" s="10"/>
      <c r="V692" s="10"/>
      <c r="W692" s="10"/>
      <c r="X692" s="10"/>
      <c r="Y692" s="10"/>
    </row>
    <row r="693" spans="1:25" ht="16.5" customHeight="1" x14ac:dyDescent="0.2">
      <c r="A693" s="320"/>
      <c r="B693" s="320"/>
      <c r="C693" s="33" t="s">
        <v>321</v>
      </c>
      <c r="D693" s="148">
        <f>(2.4+5.23+2.4+2.03+1.05+1.2+1.05)</f>
        <v>15.360000000000001</v>
      </c>
      <c r="E693" s="148"/>
      <c r="F693" s="148">
        <f t="shared" si="31"/>
        <v>2.78</v>
      </c>
      <c r="G693" s="148">
        <v>7</v>
      </c>
      <c r="H693" s="148"/>
      <c r="I693" s="148">
        <f>(1.8*1.2+3*0.7*2.1+0.8*2.1)*7</f>
        <v>57.75</v>
      </c>
      <c r="J693" s="170">
        <f t="shared" si="30"/>
        <v>241.15559999999999</v>
      </c>
      <c r="K693" s="10"/>
      <c r="L693" s="10"/>
      <c r="M693" s="10"/>
      <c r="N693" s="10"/>
      <c r="O693" s="10"/>
      <c r="P693" s="10"/>
      <c r="Q693" s="10"/>
      <c r="R693" s="10"/>
      <c r="S693" s="10"/>
      <c r="T693" s="10"/>
      <c r="U693" s="10"/>
      <c r="V693" s="10"/>
      <c r="W693" s="10"/>
      <c r="X693" s="10"/>
      <c r="Y693" s="10"/>
    </row>
    <row r="694" spans="1:25" ht="16.5" customHeight="1" x14ac:dyDescent="0.2">
      <c r="A694" s="320" t="s">
        <v>681</v>
      </c>
      <c r="B694" s="320"/>
      <c r="C694" s="33" t="s">
        <v>319</v>
      </c>
      <c r="D694" s="148">
        <f>2.6*2+2.9*2</f>
        <v>11</v>
      </c>
      <c r="E694" s="148"/>
      <c r="F694" s="148">
        <f t="shared" si="31"/>
        <v>2.78</v>
      </c>
      <c r="G694" s="148">
        <v>7</v>
      </c>
      <c r="H694" s="148"/>
      <c r="I694" s="148">
        <f>(1.2*1.2+0.7*2.1)*7</f>
        <v>20.37</v>
      </c>
      <c r="J694" s="170">
        <f t="shared" si="30"/>
        <v>193.69</v>
      </c>
      <c r="K694" s="10"/>
      <c r="L694" s="10"/>
      <c r="M694" s="10"/>
      <c r="N694" s="10"/>
      <c r="O694" s="10"/>
      <c r="P694" s="10"/>
      <c r="Q694" s="10"/>
      <c r="R694" s="10"/>
      <c r="S694" s="10"/>
      <c r="T694" s="10"/>
      <c r="U694" s="10"/>
      <c r="V694" s="10"/>
      <c r="W694" s="10"/>
      <c r="X694" s="10"/>
      <c r="Y694" s="10"/>
    </row>
    <row r="695" spans="1:25" ht="16.5" customHeight="1" x14ac:dyDescent="0.2">
      <c r="A695" s="320"/>
      <c r="B695" s="320"/>
      <c r="C695" s="33" t="s">
        <v>320</v>
      </c>
      <c r="D695" s="148">
        <f>2.4*2+2.9*2</f>
        <v>10.6</v>
      </c>
      <c r="E695" s="148"/>
      <c r="F695" s="148">
        <f t="shared" si="31"/>
        <v>2.78</v>
      </c>
      <c r="G695" s="148">
        <v>7</v>
      </c>
      <c r="H695" s="148"/>
      <c r="I695" s="148">
        <f>(1.2*1.2+0.7*2.1)*7</f>
        <v>20.37</v>
      </c>
      <c r="J695" s="170">
        <f t="shared" si="30"/>
        <v>185.90599999999998</v>
      </c>
      <c r="K695" s="10"/>
      <c r="L695" s="10"/>
      <c r="M695" s="10"/>
      <c r="N695" s="10"/>
      <c r="O695" s="10"/>
      <c r="P695" s="10"/>
      <c r="Q695" s="10"/>
      <c r="R695" s="10"/>
      <c r="S695" s="10"/>
      <c r="T695" s="10"/>
      <c r="U695" s="10"/>
      <c r="V695" s="10"/>
      <c r="W695" s="10"/>
      <c r="X695" s="10"/>
      <c r="Y695" s="10"/>
    </row>
    <row r="696" spans="1:25" ht="16.5" customHeight="1" x14ac:dyDescent="0.2">
      <c r="A696" s="320"/>
      <c r="B696" s="320"/>
      <c r="C696" s="33" t="s">
        <v>321</v>
      </c>
      <c r="D696" s="148">
        <f>(2.4+5.23+2.4+2.03+1.05+1.2+1.05)</f>
        <v>15.360000000000001</v>
      </c>
      <c r="E696" s="148"/>
      <c r="F696" s="148">
        <f t="shared" si="31"/>
        <v>2.78</v>
      </c>
      <c r="G696" s="148">
        <v>7</v>
      </c>
      <c r="H696" s="148"/>
      <c r="I696" s="148">
        <f>(1.8*1.2+3*0.7*2.1+0.8*2.1)*7</f>
        <v>57.75</v>
      </c>
      <c r="J696" s="170">
        <f t="shared" si="30"/>
        <v>241.15559999999999</v>
      </c>
      <c r="K696" s="10"/>
      <c r="L696" s="10"/>
      <c r="M696" s="10"/>
      <c r="N696" s="10"/>
      <c r="O696" s="10"/>
      <c r="P696" s="10"/>
      <c r="Q696" s="10"/>
      <c r="R696" s="10"/>
      <c r="S696" s="10"/>
      <c r="T696" s="10"/>
      <c r="U696" s="10"/>
      <c r="V696" s="10"/>
      <c r="W696" s="10"/>
      <c r="X696" s="10"/>
      <c r="Y696" s="10"/>
    </row>
    <row r="697" spans="1:25" ht="16.5" customHeight="1" x14ac:dyDescent="0.2">
      <c r="A697" s="320" t="s">
        <v>682</v>
      </c>
      <c r="B697" s="320"/>
      <c r="C697" s="33" t="s">
        <v>319</v>
      </c>
      <c r="D697" s="148">
        <f>2.6*2+2.9*2</f>
        <v>11</v>
      </c>
      <c r="E697" s="148"/>
      <c r="F697" s="148">
        <f t="shared" si="31"/>
        <v>2.78</v>
      </c>
      <c r="G697" s="148">
        <v>7</v>
      </c>
      <c r="H697" s="148"/>
      <c r="I697" s="148">
        <f>(1.2*1.2+0.7*2.1)*7</f>
        <v>20.37</v>
      </c>
      <c r="J697" s="170">
        <f t="shared" si="30"/>
        <v>193.69</v>
      </c>
      <c r="K697" s="10"/>
      <c r="L697" s="10"/>
      <c r="M697" s="10"/>
      <c r="N697" s="10"/>
      <c r="O697" s="10"/>
      <c r="P697" s="10"/>
      <c r="Q697" s="10"/>
      <c r="R697" s="10"/>
      <c r="S697" s="10"/>
      <c r="T697" s="10"/>
      <c r="U697" s="10"/>
      <c r="V697" s="10"/>
      <c r="W697" s="10"/>
      <c r="X697" s="10"/>
      <c r="Y697" s="10"/>
    </row>
    <row r="698" spans="1:25" ht="16.5" customHeight="1" x14ac:dyDescent="0.2">
      <c r="A698" s="320"/>
      <c r="B698" s="320"/>
      <c r="C698" s="33" t="s">
        <v>320</v>
      </c>
      <c r="D698" s="148">
        <f>2.4*2+2.9*2</f>
        <v>10.6</v>
      </c>
      <c r="E698" s="148"/>
      <c r="F698" s="148">
        <f t="shared" si="31"/>
        <v>2.78</v>
      </c>
      <c r="G698" s="148">
        <v>7</v>
      </c>
      <c r="H698" s="148"/>
      <c r="I698" s="148">
        <f>(1.2*1.2+0.7*2.1)*7</f>
        <v>20.37</v>
      </c>
      <c r="J698" s="170">
        <f t="shared" si="30"/>
        <v>185.90599999999998</v>
      </c>
      <c r="K698" s="10"/>
      <c r="L698" s="10"/>
      <c r="M698" s="10"/>
      <c r="N698" s="10"/>
      <c r="O698" s="10"/>
      <c r="P698" s="10"/>
      <c r="Q698" s="10"/>
      <c r="R698" s="10"/>
      <c r="S698" s="10"/>
      <c r="T698" s="10"/>
      <c r="U698" s="10"/>
      <c r="V698" s="10"/>
      <c r="W698" s="10"/>
      <c r="X698" s="10"/>
      <c r="Y698" s="10"/>
    </row>
    <row r="699" spans="1:25" ht="16.5" customHeight="1" x14ac:dyDescent="0.2">
      <c r="A699" s="320"/>
      <c r="B699" s="320"/>
      <c r="C699" s="33" t="s">
        <v>321</v>
      </c>
      <c r="D699" s="148">
        <f>(2.4+5.23+2.4+2.03+1.05+1.2+1.05)</f>
        <v>15.360000000000001</v>
      </c>
      <c r="E699" s="148"/>
      <c r="F699" s="148">
        <f t="shared" si="31"/>
        <v>2.78</v>
      </c>
      <c r="G699" s="148">
        <v>7</v>
      </c>
      <c r="H699" s="148"/>
      <c r="I699" s="148">
        <f>(1.8*1.2+3*0.7*2.1+0.8*2.1)*7</f>
        <v>57.75</v>
      </c>
      <c r="J699" s="170">
        <f t="shared" si="30"/>
        <v>241.15559999999999</v>
      </c>
      <c r="K699" s="10"/>
      <c r="L699" s="10"/>
      <c r="M699" s="10"/>
      <c r="N699" s="10"/>
      <c r="O699" s="10"/>
      <c r="P699" s="10"/>
      <c r="Q699" s="10"/>
      <c r="R699" s="10"/>
      <c r="S699" s="10"/>
      <c r="T699" s="10"/>
      <c r="U699" s="10"/>
      <c r="V699" s="10"/>
      <c r="W699" s="10"/>
      <c r="X699" s="10"/>
      <c r="Y699" s="10"/>
    </row>
    <row r="700" spans="1:25" ht="16.5" customHeight="1" x14ac:dyDescent="0.2">
      <c r="A700" s="318" t="s">
        <v>786</v>
      </c>
      <c r="B700" s="319"/>
      <c r="C700" s="33" t="s">
        <v>323</v>
      </c>
      <c r="D700" s="148">
        <f>4.44*2+4.63*2+2.03+0.87*2+0.15*2+0.72*2+1.74</f>
        <v>25.39</v>
      </c>
      <c r="E700" s="148"/>
      <c r="F700" s="148">
        <f t="shared" si="31"/>
        <v>2.78</v>
      </c>
      <c r="G700" s="148">
        <v>7</v>
      </c>
      <c r="H700" s="148"/>
      <c r="I700" s="148">
        <f>(4*0.8*2.1+2*0.6*1.2+0.8*1.6)*7</f>
        <v>66.080000000000013</v>
      </c>
      <c r="J700" s="170">
        <f t="shared" si="30"/>
        <v>428.00939999999991</v>
      </c>
      <c r="K700" s="10"/>
      <c r="L700" s="10"/>
      <c r="M700" s="10"/>
      <c r="N700" s="10"/>
      <c r="O700" s="10"/>
      <c r="P700" s="10"/>
      <c r="Q700" s="10"/>
      <c r="R700" s="10"/>
      <c r="S700" s="10"/>
      <c r="T700" s="10"/>
      <c r="U700" s="10"/>
      <c r="V700" s="10"/>
      <c r="W700" s="10"/>
      <c r="X700" s="10"/>
      <c r="Y700" s="10"/>
    </row>
    <row r="701" spans="1:25" ht="16.5" customHeight="1" x14ac:dyDescent="0.2">
      <c r="A701" s="320" t="s">
        <v>683</v>
      </c>
      <c r="B701" s="320"/>
      <c r="C701" s="33" t="s">
        <v>319</v>
      </c>
      <c r="D701" s="148">
        <f>2.6*2+2.9*2</f>
        <v>11</v>
      </c>
      <c r="E701" s="148"/>
      <c r="F701" s="148">
        <f t="shared" si="31"/>
        <v>2.78</v>
      </c>
      <c r="G701" s="148">
        <v>7</v>
      </c>
      <c r="H701" s="148"/>
      <c r="I701" s="148">
        <f>(1.2*1.2+0.7*2.1)*7</f>
        <v>20.37</v>
      </c>
      <c r="J701" s="170">
        <f t="shared" si="30"/>
        <v>193.69</v>
      </c>
      <c r="K701" s="10"/>
      <c r="L701" s="10"/>
      <c r="M701" s="10"/>
      <c r="N701" s="10"/>
      <c r="O701" s="10"/>
      <c r="P701" s="10"/>
      <c r="Q701" s="10"/>
      <c r="R701" s="10"/>
      <c r="S701" s="10"/>
      <c r="T701" s="10"/>
      <c r="U701" s="10"/>
      <c r="V701" s="10"/>
      <c r="W701" s="10"/>
      <c r="X701" s="10"/>
      <c r="Y701" s="10"/>
    </row>
    <row r="702" spans="1:25" ht="16.5" customHeight="1" x14ac:dyDescent="0.2">
      <c r="A702" s="320"/>
      <c r="B702" s="320"/>
      <c r="C702" s="33" t="s">
        <v>320</v>
      </c>
      <c r="D702" s="148">
        <f>2.4*2+2.9*2</f>
        <v>10.6</v>
      </c>
      <c r="E702" s="148"/>
      <c r="F702" s="148">
        <f t="shared" si="31"/>
        <v>2.78</v>
      </c>
      <c r="G702" s="148">
        <v>7</v>
      </c>
      <c r="H702" s="148"/>
      <c r="I702" s="148">
        <f>(1.2*1.2+0.7*2.1)*7</f>
        <v>20.37</v>
      </c>
      <c r="J702" s="170">
        <f t="shared" si="30"/>
        <v>185.90599999999998</v>
      </c>
      <c r="K702" s="10"/>
      <c r="L702" s="10"/>
      <c r="M702" s="10"/>
      <c r="N702" s="10"/>
      <c r="O702" s="10"/>
      <c r="P702" s="10"/>
      <c r="Q702" s="10"/>
      <c r="R702" s="10"/>
      <c r="S702" s="10"/>
      <c r="T702" s="10"/>
      <c r="U702" s="10"/>
      <c r="V702" s="10"/>
      <c r="W702" s="10"/>
      <c r="X702" s="10"/>
      <c r="Y702" s="10"/>
    </row>
    <row r="703" spans="1:25" ht="16.5" customHeight="1" x14ac:dyDescent="0.2">
      <c r="A703" s="320"/>
      <c r="B703" s="320"/>
      <c r="C703" s="33" t="s">
        <v>321</v>
      </c>
      <c r="D703" s="148">
        <f>(2.4+5.23+2.4+2.03+1.05+1.2+1.05)</f>
        <v>15.360000000000001</v>
      </c>
      <c r="E703" s="148"/>
      <c r="F703" s="148">
        <f t="shared" si="31"/>
        <v>2.78</v>
      </c>
      <c r="G703" s="148">
        <v>7</v>
      </c>
      <c r="H703" s="148"/>
      <c r="I703" s="148">
        <f>(1.8*1.2+3*0.7*2.1+0.8*2.1)*7</f>
        <v>57.75</v>
      </c>
      <c r="J703" s="170">
        <f t="shared" si="30"/>
        <v>241.15559999999999</v>
      </c>
      <c r="K703" s="10"/>
      <c r="L703" s="10"/>
      <c r="M703" s="10"/>
      <c r="N703" s="10"/>
      <c r="O703" s="10"/>
      <c r="P703" s="10"/>
      <c r="Q703" s="10"/>
      <c r="R703" s="10"/>
      <c r="S703" s="10"/>
      <c r="T703" s="10"/>
      <c r="U703" s="10"/>
      <c r="V703" s="10"/>
      <c r="W703" s="10"/>
      <c r="X703" s="10"/>
      <c r="Y703" s="10"/>
    </row>
    <row r="704" spans="1:25" ht="16.5" customHeight="1" x14ac:dyDescent="0.2">
      <c r="A704" s="320" t="s">
        <v>684</v>
      </c>
      <c r="B704" s="320"/>
      <c r="C704" s="33" t="s">
        <v>319</v>
      </c>
      <c r="D704" s="148">
        <f>2.6*2+2.9*2</f>
        <v>11</v>
      </c>
      <c r="E704" s="148"/>
      <c r="F704" s="148">
        <f t="shared" si="31"/>
        <v>2.78</v>
      </c>
      <c r="G704" s="148">
        <v>7</v>
      </c>
      <c r="H704" s="148"/>
      <c r="I704" s="148">
        <f>(1.2*1.2+0.7*2.1)*7</f>
        <v>20.37</v>
      </c>
      <c r="J704" s="170">
        <f t="shared" si="30"/>
        <v>193.69</v>
      </c>
      <c r="K704" s="10"/>
      <c r="L704" s="10"/>
      <c r="M704" s="10"/>
      <c r="N704" s="10"/>
      <c r="O704" s="10"/>
      <c r="P704" s="10"/>
      <c r="Q704" s="10"/>
      <c r="R704" s="10"/>
      <c r="S704" s="10"/>
      <c r="T704" s="10"/>
      <c r="U704" s="10"/>
      <c r="V704" s="10"/>
      <c r="W704" s="10"/>
      <c r="X704" s="10"/>
      <c r="Y704" s="10"/>
    </row>
    <row r="705" spans="1:25" ht="16.5" customHeight="1" x14ac:dyDescent="0.2">
      <c r="A705" s="320"/>
      <c r="B705" s="320"/>
      <c r="C705" s="33" t="s">
        <v>320</v>
      </c>
      <c r="D705" s="148">
        <f>2.4*2+2.9*2</f>
        <v>10.6</v>
      </c>
      <c r="E705" s="148"/>
      <c r="F705" s="148">
        <f t="shared" si="31"/>
        <v>2.78</v>
      </c>
      <c r="G705" s="148">
        <v>7</v>
      </c>
      <c r="H705" s="148"/>
      <c r="I705" s="148">
        <f>(1.2*1.2+0.7*2.1)*7</f>
        <v>20.37</v>
      </c>
      <c r="J705" s="170">
        <f t="shared" si="30"/>
        <v>185.90599999999998</v>
      </c>
      <c r="K705" s="10"/>
      <c r="L705" s="10"/>
      <c r="M705" s="10"/>
      <c r="N705" s="10"/>
      <c r="O705" s="10"/>
      <c r="P705" s="10"/>
      <c r="Q705" s="10"/>
      <c r="R705" s="10"/>
      <c r="S705" s="10"/>
      <c r="T705" s="10"/>
      <c r="U705" s="10"/>
      <c r="V705" s="10"/>
      <c r="W705" s="10"/>
      <c r="X705" s="10"/>
      <c r="Y705" s="10"/>
    </row>
    <row r="706" spans="1:25" ht="16.5" customHeight="1" x14ac:dyDescent="0.2">
      <c r="A706" s="320"/>
      <c r="B706" s="320"/>
      <c r="C706" s="33" t="s">
        <v>321</v>
      </c>
      <c r="D706" s="148">
        <f>(2.4+5.23+2.4+2.03+1.05+1.2+1.05)</f>
        <v>15.360000000000001</v>
      </c>
      <c r="E706" s="148"/>
      <c r="F706" s="148">
        <f t="shared" si="31"/>
        <v>2.78</v>
      </c>
      <c r="G706" s="148">
        <v>7</v>
      </c>
      <c r="H706" s="148"/>
      <c r="I706" s="148">
        <f>(1.8*1.2+3*0.7*2.1+0.8*2.1)*7</f>
        <v>57.75</v>
      </c>
      <c r="J706" s="170">
        <f t="shared" si="30"/>
        <v>241.15559999999999</v>
      </c>
      <c r="K706" s="10"/>
      <c r="L706" s="10"/>
      <c r="M706" s="10"/>
      <c r="N706" s="10"/>
      <c r="O706" s="10"/>
      <c r="P706" s="10"/>
      <c r="Q706" s="10"/>
      <c r="R706" s="10"/>
      <c r="S706" s="10"/>
      <c r="T706" s="10"/>
      <c r="U706" s="10"/>
      <c r="V706" s="10"/>
      <c r="W706" s="10"/>
      <c r="X706" s="10"/>
      <c r="Y706" s="10"/>
    </row>
    <row r="707" spans="1:25" ht="16.5" customHeight="1" x14ac:dyDescent="0.2">
      <c r="A707" s="320" t="s">
        <v>685</v>
      </c>
      <c r="B707" s="320"/>
      <c r="C707" s="33" t="s">
        <v>319</v>
      </c>
      <c r="D707" s="148">
        <f>2.6*2+2.9*2</f>
        <v>11</v>
      </c>
      <c r="E707" s="148"/>
      <c r="F707" s="148">
        <f t="shared" si="31"/>
        <v>2.78</v>
      </c>
      <c r="G707" s="148">
        <v>7</v>
      </c>
      <c r="H707" s="148"/>
      <c r="I707" s="148">
        <f>(1.2*1.2+0.7*2.1)*7</f>
        <v>20.37</v>
      </c>
      <c r="J707" s="170">
        <f t="shared" si="30"/>
        <v>193.69</v>
      </c>
      <c r="K707" s="10"/>
      <c r="L707" s="10"/>
      <c r="M707" s="10"/>
      <c r="N707" s="10"/>
      <c r="O707" s="10"/>
      <c r="P707" s="10"/>
      <c r="Q707" s="10"/>
      <c r="R707" s="10"/>
      <c r="S707" s="10"/>
      <c r="T707" s="10"/>
      <c r="U707" s="10"/>
      <c r="V707" s="10"/>
      <c r="W707" s="10"/>
      <c r="X707" s="10"/>
      <c r="Y707" s="10"/>
    </row>
    <row r="708" spans="1:25" ht="16.5" customHeight="1" x14ac:dyDescent="0.2">
      <c r="A708" s="320"/>
      <c r="B708" s="320"/>
      <c r="C708" s="33" t="s">
        <v>320</v>
      </c>
      <c r="D708" s="148">
        <f>2.4*2+2.9*2</f>
        <v>10.6</v>
      </c>
      <c r="E708" s="148"/>
      <c r="F708" s="148">
        <f t="shared" si="31"/>
        <v>2.78</v>
      </c>
      <c r="G708" s="148">
        <v>7</v>
      </c>
      <c r="H708" s="148"/>
      <c r="I708" s="148">
        <f>(1.2*1.2+0.7*2.1)*7</f>
        <v>20.37</v>
      </c>
      <c r="J708" s="170">
        <f t="shared" si="30"/>
        <v>185.90599999999998</v>
      </c>
      <c r="K708" s="10"/>
      <c r="L708" s="10"/>
      <c r="M708" s="10"/>
      <c r="N708" s="10"/>
      <c r="O708" s="10"/>
      <c r="P708" s="10"/>
      <c r="Q708" s="10"/>
      <c r="R708" s="10"/>
      <c r="S708" s="10"/>
      <c r="T708" s="10"/>
      <c r="U708" s="10"/>
      <c r="V708" s="10"/>
      <c r="W708" s="10"/>
      <c r="X708" s="10"/>
      <c r="Y708" s="10"/>
    </row>
    <row r="709" spans="1:25" ht="16.5" customHeight="1" x14ac:dyDescent="0.2">
      <c r="A709" s="320"/>
      <c r="B709" s="320"/>
      <c r="C709" s="33" t="s">
        <v>321</v>
      </c>
      <c r="D709" s="148">
        <f>(2.4+5.23+2.4+2.03+1.05+1.2+1.05)</f>
        <v>15.360000000000001</v>
      </c>
      <c r="E709" s="148"/>
      <c r="F709" s="148">
        <f t="shared" si="31"/>
        <v>2.78</v>
      </c>
      <c r="G709" s="148">
        <v>7</v>
      </c>
      <c r="H709" s="148"/>
      <c r="I709" s="148">
        <f>(1.8*1.2+3*0.7*2.1+0.8*2.1)*7</f>
        <v>57.75</v>
      </c>
      <c r="J709" s="170">
        <f t="shared" si="30"/>
        <v>241.15559999999999</v>
      </c>
      <c r="K709" s="10"/>
      <c r="L709" s="10"/>
      <c r="M709" s="10"/>
      <c r="N709" s="10"/>
      <c r="O709" s="10"/>
      <c r="P709" s="10"/>
      <c r="Q709" s="10"/>
      <c r="R709" s="10"/>
      <c r="S709" s="10"/>
      <c r="T709" s="10"/>
      <c r="U709" s="10"/>
      <c r="V709" s="10"/>
      <c r="W709" s="10"/>
      <c r="X709" s="10"/>
      <c r="Y709" s="10"/>
    </row>
    <row r="710" spans="1:25" ht="16.5" customHeight="1" x14ac:dyDescent="0.2">
      <c r="A710" s="320" t="s">
        <v>686</v>
      </c>
      <c r="B710" s="320"/>
      <c r="C710" s="33" t="s">
        <v>319</v>
      </c>
      <c r="D710" s="148">
        <f>2.6*2+2.9*2</f>
        <v>11</v>
      </c>
      <c r="E710" s="148"/>
      <c r="F710" s="148">
        <f t="shared" si="31"/>
        <v>2.78</v>
      </c>
      <c r="G710" s="148">
        <v>7</v>
      </c>
      <c r="H710" s="148"/>
      <c r="I710" s="148">
        <f>(1.2*1.2+0.7*2.1)*7</f>
        <v>20.37</v>
      </c>
      <c r="J710" s="170">
        <f t="shared" si="30"/>
        <v>193.69</v>
      </c>
      <c r="K710" s="10"/>
      <c r="L710" s="10"/>
      <c r="M710" s="10"/>
      <c r="N710" s="10"/>
      <c r="O710" s="10"/>
      <c r="P710" s="10"/>
      <c r="Q710" s="10"/>
      <c r="R710" s="10"/>
      <c r="S710" s="10"/>
      <c r="T710" s="10"/>
      <c r="U710" s="10"/>
      <c r="V710" s="10"/>
      <c r="W710" s="10"/>
      <c r="X710" s="10"/>
      <c r="Y710" s="10"/>
    </row>
    <row r="711" spans="1:25" ht="16.5" customHeight="1" x14ac:dyDescent="0.2">
      <c r="A711" s="320"/>
      <c r="B711" s="320"/>
      <c r="C711" s="33" t="s">
        <v>320</v>
      </c>
      <c r="D711" s="148">
        <f>2.4*2+2.9*2</f>
        <v>10.6</v>
      </c>
      <c r="E711" s="148"/>
      <c r="F711" s="148">
        <f t="shared" si="31"/>
        <v>2.78</v>
      </c>
      <c r="G711" s="148">
        <v>7</v>
      </c>
      <c r="H711" s="148"/>
      <c r="I711" s="148">
        <f>(1.2*1.2+0.7*2.1)*7</f>
        <v>20.37</v>
      </c>
      <c r="J711" s="170">
        <f t="shared" si="30"/>
        <v>185.90599999999998</v>
      </c>
      <c r="K711" s="10"/>
      <c r="L711" s="10"/>
      <c r="M711" s="10"/>
      <c r="N711" s="10"/>
      <c r="O711" s="10"/>
      <c r="P711" s="10"/>
      <c r="Q711" s="10"/>
      <c r="R711" s="10"/>
      <c r="S711" s="10"/>
      <c r="T711" s="10"/>
      <c r="U711" s="10"/>
      <c r="V711" s="10"/>
      <c r="W711" s="10"/>
      <c r="X711" s="10"/>
      <c r="Y711" s="10"/>
    </row>
    <row r="712" spans="1:25" ht="16.5" customHeight="1" x14ac:dyDescent="0.2">
      <c r="A712" s="320"/>
      <c r="B712" s="320"/>
      <c r="C712" s="33" t="s">
        <v>321</v>
      </c>
      <c r="D712" s="148">
        <f>(2.4+5.23+2.4+2.03+1.05+1.2+1.05)</f>
        <v>15.360000000000001</v>
      </c>
      <c r="E712" s="148"/>
      <c r="F712" s="148">
        <f t="shared" si="31"/>
        <v>2.78</v>
      </c>
      <c r="G712" s="148">
        <v>7</v>
      </c>
      <c r="H712" s="148"/>
      <c r="I712" s="148">
        <f>(1.8*1.2+3*0.7*2.1+0.8*2.1)*7</f>
        <v>57.75</v>
      </c>
      <c r="J712" s="170">
        <f t="shared" si="30"/>
        <v>241.15559999999999</v>
      </c>
      <c r="K712" s="10"/>
      <c r="L712" s="10"/>
      <c r="M712" s="10"/>
      <c r="N712" s="10"/>
      <c r="O712" s="10"/>
      <c r="P712" s="10"/>
      <c r="Q712" s="10"/>
      <c r="R712" s="10"/>
      <c r="S712" s="10"/>
      <c r="T712" s="10"/>
      <c r="U712" s="10"/>
      <c r="V712" s="10"/>
      <c r="W712" s="10"/>
      <c r="X712" s="10"/>
      <c r="Y712" s="10"/>
    </row>
    <row r="713" spans="1:25" ht="16.5" customHeight="1" x14ac:dyDescent="0.2">
      <c r="A713" s="318" t="s">
        <v>787</v>
      </c>
      <c r="B713" s="319"/>
      <c r="C713" s="33" t="s">
        <v>323</v>
      </c>
      <c r="D713" s="148">
        <f>4.44*2+4.63*2+2.03+0.87*2+0.15*2+0.72*2+1.74</f>
        <v>25.39</v>
      </c>
      <c r="E713" s="148"/>
      <c r="F713" s="148">
        <v>3.98</v>
      </c>
      <c r="G713" s="148">
        <v>7</v>
      </c>
      <c r="H713" s="148"/>
      <c r="I713" s="148">
        <f>(4*0.8*2.1+2*0.6*1.2+0.8*1.6+0.8*0.6*2)*7</f>
        <v>72.800000000000011</v>
      </c>
      <c r="J713" s="170">
        <f t="shared" si="30"/>
        <v>634.56539999999995</v>
      </c>
      <c r="K713" s="10"/>
      <c r="L713" s="10"/>
      <c r="M713" s="10"/>
      <c r="N713" s="10"/>
      <c r="O713" s="10"/>
      <c r="P713" s="10"/>
      <c r="Q713" s="10"/>
      <c r="R713" s="10"/>
      <c r="S713" s="10"/>
      <c r="T713" s="10"/>
      <c r="U713" s="10"/>
      <c r="V713" s="10"/>
      <c r="W713" s="10"/>
      <c r="X713" s="10"/>
      <c r="Y713" s="10"/>
    </row>
    <row r="714" spans="1:25" ht="16.5" customHeight="1" x14ac:dyDescent="0.2">
      <c r="A714" s="342" t="str">
        <f>"TOTAL - "&amp;'Planilha orçamentária'!F58</f>
        <v>TOTAL - M2</v>
      </c>
      <c r="B714" s="342"/>
      <c r="C714" s="342"/>
      <c r="D714" s="342"/>
      <c r="E714" s="342"/>
      <c r="F714" s="342"/>
      <c r="G714" s="342"/>
      <c r="H714" s="342"/>
      <c r="I714" s="342"/>
      <c r="J714" s="149">
        <f>SUM(J662:J713)</f>
        <v>11843.269200000002</v>
      </c>
      <c r="K714" s="10"/>
      <c r="L714" s="10"/>
      <c r="M714" s="10"/>
      <c r="N714" s="10"/>
      <c r="O714" s="10"/>
      <c r="P714" s="10"/>
      <c r="Q714" s="10"/>
      <c r="R714" s="10"/>
      <c r="S714" s="10"/>
      <c r="T714" s="10"/>
      <c r="U714" s="10"/>
      <c r="V714" s="10"/>
      <c r="W714" s="10"/>
      <c r="X714" s="10"/>
      <c r="Y714" s="10"/>
    </row>
    <row r="715" spans="1:25" ht="16.5" customHeight="1" x14ac:dyDescent="0.2">
      <c r="A715" s="184" t="str">
        <f>'Planilha orçamentária'!A59</f>
        <v>8.12</v>
      </c>
      <c r="B715" s="343" t="str">
        <f>'Planilha orçamentária'!D59</f>
        <v>Revestimento de gesso em teto, esp. 5mm, aplicação manual (sarrafeado)</v>
      </c>
      <c r="C715" s="344"/>
      <c r="D715" s="344"/>
      <c r="E715" s="344"/>
      <c r="F715" s="344"/>
      <c r="G715" s="344"/>
      <c r="H715" s="344"/>
      <c r="I715" s="344"/>
      <c r="J715" s="344"/>
      <c r="K715" s="10"/>
      <c r="L715" s="10"/>
      <c r="M715" s="10"/>
      <c r="N715" s="10"/>
      <c r="O715" s="10"/>
      <c r="P715" s="10"/>
      <c r="Q715" s="10"/>
      <c r="R715" s="10"/>
      <c r="S715" s="10"/>
      <c r="T715" s="10"/>
      <c r="U715" s="10"/>
      <c r="V715" s="10"/>
      <c r="W715" s="10"/>
      <c r="X715" s="10"/>
      <c r="Y715" s="10"/>
    </row>
    <row r="716" spans="1:25" ht="25.5" customHeight="1" x14ac:dyDescent="0.2">
      <c r="A716" s="333" t="s">
        <v>120</v>
      </c>
      <c r="B716" s="334"/>
      <c r="C716" s="335"/>
      <c r="D716" s="182" t="s">
        <v>307</v>
      </c>
      <c r="E716" s="182" t="s">
        <v>122</v>
      </c>
      <c r="F716" s="181" t="s">
        <v>123</v>
      </c>
      <c r="G716" s="181" t="s">
        <v>493</v>
      </c>
      <c r="H716" s="181" t="s">
        <v>125</v>
      </c>
      <c r="I716" s="182" t="s">
        <v>126</v>
      </c>
      <c r="J716" s="182" t="s">
        <v>113</v>
      </c>
      <c r="K716" s="10"/>
      <c r="L716" s="10"/>
      <c r="M716" s="10"/>
      <c r="N716" s="10"/>
      <c r="O716" s="10"/>
      <c r="P716" s="10"/>
      <c r="Q716" s="10"/>
      <c r="R716" s="10"/>
      <c r="S716" s="10"/>
      <c r="T716" s="10"/>
      <c r="U716" s="10"/>
      <c r="V716" s="10"/>
      <c r="W716" s="10"/>
      <c r="X716" s="10"/>
      <c r="Y716" s="10"/>
    </row>
    <row r="717" spans="1:25" ht="16.5" customHeight="1" x14ac:dyDescent="0.2">
      <c r="A717" s="318" t="s">
        <v>671</v>
      </c>
      <c r="B717" s="319"/>
      <c r="C717" s="33" t="s">
        <v>322</v>
      </c>
      <c r="D717" s="148"/>
      <c r="E717" s="148"/>
      <c r="F717" s="148"/>
      <c r="G717" s="148">
        <v>7</v>
      </c>
      <c r="H717" s="148">
        <v>39.57</v>
      </c>
      <c r="I717" s="148"/>
      <c r="J717" s="170">
        <f t="shared" ref="J717:J736" si="32">PRODUCT(D717:H717)-I717</f>
        <v>276.99</v>
      </c>
      <c r="K717" s="10"/>
      <c r="L717" s="10"/>
      <c r="M717" s="10"/>
      <c r="N717" s="10"/>
      <c r="O717" s="10"/>
      <c r="P717" s="10"/>
      <c r="Q717" s="10"/>
      <c r="R717" s="10"/>
      <c r="S717" s="10"/>
      <c r="T717" s="10"/>
      <c r="U717" s="10"/>
      <c r="V717" s="10"/>
      <c r="W717" s="10"/>
      <c r="X717" s="10"/>
      <c r="Y717" s="10"/>
    </row>
    <row r="718" spans="1:25" ht="16.5" customHeight="1" x14ac:dyDescent="0.2">
      <c r="A718" s="318" t="s">
        <v>672</v>
      </c>
      <c r="B718" s="319"/>
      <c r="C718" s="33" t="s">
        <v>322</v>
      </c>
      <c r="D718" s="148"/>
      <c r="E718" s="148"/>
      <c r="F718" s="148"/>
      <c r="G718" s="148">
        <v>7</v>
      </c>
      <c r="H718" s="148">
        <v>39.57</v>
      </c>
      <c r="I718" s="148"/>
      <c r="J718" s="170">
        <f t="shared" si="32"/>
        <v>276.99</v>
      </c>
      <c r="K718" s="10"/>
      <c r="L718" s="10"/>
      <c r="M718" s="10"/>
      <c r="N718" s="10"/>
      <c r="O718" s="10"/>
      <c r="P718" s="10"/>
      <c r="Q718" s="10"/>
      <c r="R718" s="10"/>
      <c r="S718" s="10"/>
      <c r="T718" s="10"/>
      <c r="U718" s="10"/>
      <c r="V718" s="10"/>
      <c r="W718" s="10"/>
      <c r="X718" s="10"/>
      <c r="Y718" s="10"/>
    </row>
    <row r="719" spans="1:25" ht="16.5" customHeight="1" x14ac:dyDescent="0.2">
      <c r="A719" s="318" t="s">
        <v>673</v>
      </c>
      <c r="B719" s="319"/>
      <c r="C719" s="33" t="s">
        <v>322</v>
      </c>
      <c r="D719" s="148"/>
      <c r="E719" s="148"/>
      <c r="F719" s="148"/>
      <c r="G719" s="148">
        <v>7</v>
      </c>
      <c r="H719" s="148">
        <v>39.57</v>
      </c>
      <c r="I719" s="148"/>
      <c r="J719" s="170">
        <f t="shared" si="32"/>
        <v>276.99</v>
      </c>
      <c r="K719" s="10"/>
      <c r="L719" s="10"/>
      <c r="M719" s="10"/>
      <c r="N719" s="10"/>
      <c r="O719" s="10"/>
      <c r="P719" s="10"/>
      <c r="Q719" s="10"/>
      <c r="R719" s="10"/>
      <c r="S719" s="10"/>
      <c r="T719" s="10"/>
      <c r="U719" s="10"/>
      <c r="V719" s="10"/>
      <c r="W719" s="10"/>
      <c r="X719" s="10"/>
      <c r="Y719" s="10"/>
    </row>
    <row r="720" spans="1:25" ht="16.5" customHeight="1" x14ac:dyDescent="0.2">
      <c r="A720" s="318" t="s">
        <v>674</v>
      </c>
      <c r="B720" s="319"/>
      <c r="C720" s="33" t="s">
        <v>322</v>
      </c>
      <c r="D720" s="148"/>
      <c r="E720" s="148"/>
      <c r="F720" s="148"/>
      <c r="G720" s="148">
        <v>7</v>
      </c>
      <c r="H720" s="148">
        <v>39.57</v>
      </c>
      <c r="I720" s="148"/>
      <c r="J720" s="170">
        <f t="shared" si="32"/>
        <v>276.99</v>
      </c>
      <c r="K720" s="10"/>
      <c r="L720" s="10"/>
      <c r="M720" s="10"/>
      <c r="N720" s="10"/>
      <c r="O720" s="10"/>
      <c r="P720" s="10"/>
      <c r="Q720" s="10"/>
      <c r="R720" s="10"/>
      <c r="S720" s="10"/>
      <c r="T720" s="10"/>
      <c r="U720" s="10"/>
      <c r="V720" s="10"/>
      <c r="W720" s="10"/>
      <c r="X720" s="10"/>
      <c r="Y720" s="10"/>
    </row>
    <row r="721" spans="1:25" ht="16.5" customHeight="1" x14ac:dyDescent="0.2">
      <c r="A721" s="318" t="s">
        <v>788</v>
      </c>
      <c r="B721" s="319"/>
      <c r="C721" s="33" t="s">
        <v>322</v>
      </c>
      <c r="D721" s="148"/>
      <c r="E721" s="148"/>
      <c r="F721" s="148"/>
      <c r="G721" s="148">
        <v>7</v>
      </c>
      <c r="H721" s="148">
        <f>ROUND(4.44*4.63,2)</f>
        <v>20.56</v>
      </c>
      <c r="I721" s="148"/>
      <c r="J721" s="170">
        <f t="shared" si="32"/>
        <v>143.91999999999999</v>
      </c>
      <c r="K721" s="10"/>
      <c r="L721" s="10"/>
      <c r="M721" s="10"/>
      <c r="N721" s="10"/>
      <c r="O721" s="10"/>
      <c r="P721" s="10"/>
      <c r="Q721" s="10"/>
      <c r="R721" s="10"/>
      <c r="S721" s="10"/>
      <c r="T721" s="10"/>
      <c r="U721" s="10"/>
      <c r="V721" s="10"/>
      <c r="W721" s="10"/>
      <c r="X721" s="10"/>
      <c r="Y721" s="10"/>
    </row>
    <row r="722" spans="1:25" ht="16.5" customHeight="1" x14ac:dyDescent="0.2">
      <c r="A722" s="318" t="s">
        <v>675</v>
      </c>
      <c r="B722" s="319"/>
      <c r="C722" s="33" t="s">
        <v>322</v>
      </c>
      <c r="D722" s="148"/>
      <c r="E722" s="148"/>
      <c r="F722" s="148"/>
      <c r="G722" s="148">
        <v>7</v>
      </c>
      <c r="H722" s="148">
        <v>39.57</v>
      </c>
      <c r="I722" s="148"/>
      <c r="J722" s="170">
        <f t="shared" si="32"/>
        <v>276.99</v>
      </c>
      <c r="K722" s="10"/>
      <c r="L722" s="10"/>
      <c r="M722" s="10"/>
      <c r="N722" s="10"/>
      <c r="O722" s="10"/>
      <c r="P722" s="10"/>
      <c r="Q722" s="10"/>
      <c r="R722" s="10"/>
      <c r="S722" s="10"/>
      <c r="T722" s="10"/>
      <c r="U722" s="10"/>
      <c r="V722" s="10"/>
      <c r="W722" s="10"/>
      <c r="X722" s="10"/>
      <c r="Y722" s="10"/>
    </row>
    <row r="723" spans="1:25" ht="16.5" customHeight="1" x14ac:dyDescent="0.2">
      <c r="A723" s="318" t="s">
        <v>676</v>
      </c>
      <c r="B723" s="319"/>
      <c r="C723" s="33" t="s">
        <v>322</v>
      </c>
      <c r="D723" s="148"/>
      <c r="E723" s="148"/>
      <c r="F723" s="148"/>
      <c r="G723" s="148">
        <v>7</v>
      </c>
      <c r="H723" s="148">
        <v>39.57</v>
      </c>
      <c r="I723" s="148"/>
      <c r="J723" s="170">
        <f t="shared" si="32"/>
        <v>276.99</v>
      </c>
      <c r="K723" s="10"/>
      <c r="L723" s="10"/>
      <c r="M723" s="10"/>
      <c r="N723" s="10"/>
      <c r="O723" s="10"/>
      <c r="P723" s="10"/>
      <c r="Q723" s="10"/>
      <c r="R723" s="10"/>
      <c r="S723" s="10"/>
      <c r="T723" s="10"/>
      <c r="U723" s="10"/>
      <c r="V723" s="10"/>
      <c r="W723" s="10"/>
      <c r="X723" s="10"/>
      <c r="Y723" s="10"/>
    </row>
    <row r="724" spans="1:25" ht="16.5" customHeight="1" x14ac:dyDescent="0.2">
      <c r="A724" s="318" t="s">
        <v>789</v>
      </c>
      <c r="B724" s="319"/>
      <c r="C724" s="33" t="s">
        <v>322</v>
      </c>
      <c r="D724" s="148"/>
      <c r="E724" s="148"/>
      <c r="F724" s="148"/>
      <c r="G724" s="148">
        <v>7</v>
      </c>
      <c r="H724" s="148">
        <v>39.57</v>
      </c>
      <c r="I724" s="148"/>
      <c r="J724" s="170">
        <f t="shared" si="32"/>
        <v>276.99</v>
      </c>
      <c r="K724" s="10"/>
      <c r="L724" s="10"/>
      <c r="M724" s="10"/>
      <c r="N724" s="10"/>
      <c r="O724" s="10"/>
      <c r="P724" s="10"/>
      <c r="Q724" s="10"/>
      <c r="R724" s="10"/>
      <c r="S724" s="10"/>
      <c r="T724" s="10"/>
      <c r="U724" s="10"/>
      <c r="V724" s="10"/>
      <c r="W724" s="10"/>
      <c r="X724" s="10"/>
      <c r="Y724" s="10"/>
    </row>
    <row r="725" spans="1:25" ht="16.5" customHeight="1" x14ac:dyDescent="0.2">
      <c r="A725" s="318" t="s">
        <v>678</v>
      </c>
      <c r="B725" s="319"/>
      <c r="C725" s="33" t="s">
        <v>322</v>
      </c>
      <c r="D725" s="148"/>
      <c r="E725" s="148"/>
      <c r="F725" s="148"/>
      <c r="G725" s="148">
        <v>7</v>
      </c>
      <c r="H725" s="148">
        <v>39.57</v>
      </c>
      <c r="I725" s="148"/>
      <c r="J725" s="170">
        <f t="shared" si="32"/>
        <v>276.99</v>
      </c>
      <c r="K725" s="10"/>
      <c r="L725" s="10"/>
      <c r="M725" s="10"/>
      <c r="N725" s="10"/>
      <c r="O725" s="10"/>
      <c r="P725" s="10"/>
      <c r="Q725" s="10"/>
      <c r="R725" s="10"/>
      <c r="S725" s="10"/>
      <c r="T725" s="10"/>
      <c r="U725" s="10"/>
      <c r="V725" s="10"/>
      <c r="W725" s="10"/>
      <c r="X725" s="10"/>
      <c r="Y725" s="10"/>
    </row>
    <row r="726" spans="1:25" ht="16.5" customHeight="1" x14ac:dyDescent="0.2">
      <c r="A726" s="318" t="s">
        <v>790</v>
      </c>
      <c r="B726" s="319"/>
      <c r="C726" s="33" t="s">
        <v>322</v>
      </c>
      <c r="D726" s="148"/>
      <c r="E726" s="148"/>
      <c r="F726" s="148"/>
      <c r="G726" s="148">
        <v>7</v>
      </c>
      <c r="H726" s="148">
        <f>ROUND(4.44*4.63,2)</f>
        <v>20.56</v>
      </c>
      <c r="I726" s="148"/>
      <c r="J726" s="170">
        <f t="shared" si="32"/>
        <v>143.91999999999999</v>
      </c>
      <c r="K726" s="10"/>
      <c r="L726" s="10"/>
      <c r="M726" s="10"/>
      <c r="N726" s="10"/>
      <c r="O726" s="10"/>
      <c r="P726" s="10"/>
      <c r="Q726" s="10"/>
      <c r="R726" s="10"/>
      <c r="S726" s="10"/>
      <c r="T726" s="10"/>
      <c r="U726" s="10"/>
      <c r="V726" s="10"/>
      <c r="W726" s="10"/>
      <c r="X726" s="10"/>
      <c r="Y726" s="10"/>
    </row>
    <row r="727" spans="1:25" ht="16.5" customHeight="1" x14ac:dyDescent="0.2">
      <c r="A727" s="318" t="s">
        <v>679</v>
      </c>
      <c r="B727" s="319"/>
      <c r="C727" s="33" t="s">
        <v>322</v>
      </c>
      <c r="D727" s="148"/>
      <c r="E727" s="148"/>
      <c r="F727" s="148"/>
      <c r="G727" s="148">
        <v>7</v>
      </c>
      <c r="H727" s="148">
        <v>39.57</v>
      </c>
      <c r="I727" s="148"/>
      <c r="J727" s="170">
        <f t="shared" si="32"/>
        <v>276.99</v>
      </c>
      <c r="K727" s="10"/>
      <c r="L727" s="10"/>
      <c r="M727" s="10"/>
      <c r="N727" s="10"/>
      <c r="O727" s="10"/>
      <c r="P727" s="10"/>
      <c r="Q727" s="10"/>
      <c r="R727" s="10"/>
      <c r="S727" s="10"/>
      <c r="T727" s="10"/>
      <c r="U727" s="10"/>
      <c r="V727" s="10"/>
      <c r="W727" s="10"/>
      <c r="X727" s="10"/>
      <c r="Y727" s="10"/>
    </row>
    <row r="728" spans="1:25" ht="16.5" customHeight="1" x14ac:dyDescent="0.2">
      <c r="A728" s="318" t="s">
        <v>769</v>
      </c>
      <c r="B728" s="319"/>
      <c r="C728" s="33" t="s">
        <v>322</v>
      </c>
      <c r="D728" s="148"/>
      <c r="E728" s="148"/>
      <c r="F728" s="148"/>
      <c r="G728" s="148">
        <v>7</v>
      </c>
      <c r="H728" s="148">
        <v>39.57</v>
      </c>
      <c r="I728" s="148"/>
      <c r="J728" s="170">
        <f t="shared" si="32"/>
        <v>276.99</v>
      </c>
      <c r="K728" s="10"/>
      <c r="L728" s="10"/>
      <c r="M728" s="10"/>
      <c r="N728" s="10"/>
      <c r="O728" s="10"/>
      <c r="P728" s="10"/>
      <c r="Q728" s="10"/>
      <c r="R728" s="10"/>
      <c r="S728" s="10"/>
      <c r="T728" s="10"/>
      <c r="U728" s="10"/>
      <c r="V728" s="10"/>
      <c r="W728" s="10"/>
      <c r="X728" s="10"/>
      <c r="Y728" s="10"/>
    </row>
    <row r="729" spans="1:25" ht="16.5" customHeight="1" x14ac:dyDescent="0.2">
      <c r="A729" s="318" t="s">
        <v>791</v>
      </c>
      <c r="B729" s="319"/>
      <c r="C729" s="33" t="s">
        <v>322</v>
      </c>
      <c r="D729" s="148"/>
      <c r="E729" s="148"/>
      <c r="F729" s="148"/>
      <c r="G729" s="148">
        <v>7</v>
      </c>
      <c r="H729" s="148">
        <v>39.57</v>
      </c>
      <c r="I729" s="148"/>
      <c r="J729" s="170">
        <f t="shared" si="32"/>
        <v>276.99</v>
      </c>
      <c r="K729" s="10"/>
      <c r="L729" s="10"/>
      <c r="M729" s="10"/>
      <c r="N729" s="10"/>
      <c r="O729" s="10"/>
      <c r="P729" s="10"/>
      <c r="Q729" s="10"/>
      <c r="R729" s="10"/>
      <c r="S729" s="10"/>
      <c r="T729" s="10"/>
      <c r="U729" s="10"/>
      <c r="V729" s="10"/>
      <c r="W729" s="10"/>
      <c r="X729" s="10"/>
      <c r="Y729" s="10"/>
    </row>
    <row r="730" spans="1:25" ht="16.5" customHeight="1" x14ac:dyDescent="0.2">
      <c r="A730" s="318" t="s">
        <v>682</v>
      </c>
      <c r="B730" s="319"/>
      <c r="C730" s="33" t="s">
        <v>322</v>
      </c>
      <c r="D730" s="148"/>
      <c r="E730" s="148"/>
      <c r="F730" s="148"/>
      <c r="G730" s="148">
        <v>7</v>
      </c>
      <c r="H730" s="148">
        <v>39.57</v>
      </c>
      <c r="I730" s="148"/>
      <c r="J730" s="170">
        <f t="shared" si="32"/>
        <v>276.99</v>
      </c>
      <c r="K730" s="10"/>
      <c r="L730" s="10"/>
      <c r="M730" s="10"/>
      <c r="N730" s="10"/>
      <c r="O730" s="10"/>
      <c r="P730" s="10"/>
      <c r="Q730" s="10"/>
      <c r="R730" s="10"/>
      <c r="S730" s="10"/>
      <c r="T730" s="10"/>
      <c r="U730" s="10"/>
      <c r="V730" s="10"/>
      <c r="W730" s="10"/>
      <c r="X730" s="10"/>
      <c r="Y730" s="10"/>
    </row>
    <row r="731" spans="1:25" ht="16.5" customHeight="1" x14ac:dyDescent="0.2">
      <c r="A731" s="318" t="s">
        <v>786</v>
      </c>
      <c r="B731" s="319"/>
      <c r="C731" s="33" t="s">
        <v>322</v>
      </c>
      <c r="D731" s="148"/>
      <c r="E731" s="148"/>
      <c r="F731" s="148"/>
      <c r="G731" s="148">
        <v>7</v>
      </c>
      <c r="H731" s="148">
        <f>ROUND(4.44*4.63,2)</f>
        <v>20.56</v>
      </c>
      <c r="I731" s="148"/>
      <c r="J731" s="170">
        <f t="shared" si="32"/>
        <v>143.91999999999999</v>
      </c>
      <c r="K731" s="10"/>
      <c r="L731" s="10"/>
      <c r="M731" s="10"/>
      <c r="N731" s="10"/>
      <c r="O731" s="10"/>
      <c r="P731" s="10"/>
      <c r="Q731" s="10"/>
      <c r="R731" s="10"/>
      <c r="S731" s="10"/>
      <c r="T731" s="10"/>
      <c r="U731" s="10"/>
      <c r="V731" s="10"/>
      <c r="W731" s="10"/>
      <c r="X731" s="10"/>
      <c r="Y731" s="10"/>
    </row>
    <row r="732" spans="1:25" ht="16.5" customHeight="1" x14ac:dyDescent="0.2">
      <c r="A732" s="318" t="s">
        <v>683</v>
      </c>
      <c r="B732" s="319"/>
      <c r="C732" s="33" t="s">
        <v>322</v>
      </c>
      <c r="D732" s="148"/>
      <c r="E732" s="148"/>
      <c r="F732" s="148"/>
      <c r="G732" s="148">
        <v>7</v>
      </c>
      <c r="H732" s="148">
        <v>39.57</v>
      </c>
      <c r="I732" s="148"/>
      <c r="J732" s="170">
        <f t="shared" si="32"/>
        <v>276.99</v>
      </c>
      <c r="K732" s="10"/>
      <c r="L732" s="10"/>
      <c r="M732" s="10"/>
      <c r="N732" s="10"/>
      <c r="O732" s="10"/>
      <c r="P732" s="10"/>
      <c r="Q732" s="10"/>
      <c r="R732" s="10"/>
      <c r="S732" s="10"/>
      <c r="T732" s="10"/>
      <c r="U732" s="10"/>
      <c r="V732" s="10"/>
      <c r="W732" s="10"/>
      <c r="X732" s="10"/>
      <c r="Y732" s="10"/>
    </row>
    <row r="733" spans="1:25" ht="16.5" customHeight="1" x14ac:dyDescent="0.2">
      <c r="A733" s="318" t="s">
        <v>684</v>
      </c>
      <c r="B733" s="319"/>
      <c r="C733" s="33" t="s">
        <v>322</v>
      </c>
      <c r="D733" s="148"/>
      <c r="E733" s="148"/>
      <c r="F733" s="148"/>
      <c r="G733" s="148">
        <v>7</v>
      </c>
      <c r="H733" s="148">
        <v>39.57</v>
      </c>
      <c r="I733" s="148"/>
      <c r="J733" s="170">
        <f t="shared" si="32"/>
        <v>276.99</v>
      </c>
      <c r="K733" s="10"/>
      <c r="L733" s="10"/>
      <c r="M733" s="10"/>
      <c r="N733" s="10"/>
      <c r="O733" s="10"/>
      <c r="P733" s="10"/>
      <c r="Q733" s="10"/>
      <c r="R733" s="10"/>
      <c r="S733" s="10"/>
      <c r="T733" s="10"/>
      <c r="U733" s="10"/>
      <c r="V733" s="10"/>
      <c r="W733" s="10"/>
      <c r="X733" s="10"/>
      <c r="Y733" s="10"/>
    </row>
    <row r="734" spans="1:25" ht="16.5" customHeight="1" x14ac:dyDescent="0.2">
      <c r="A734" s="318" t="s">
        <v>792</v>
      </c>
      <c r="B734" s="319"/>
      <c r="C734" s="33" t="s">
        <v>322</v>
      </c>
      <c r="D734" s="148"/>
      <c r="E734" s="148"/>
      <c r="F734" s="148"/>
      <c r="G734" s="148">
        <v>7</v>
      </c>
      <c r="H734" s="148">
        <v>39.57</v>
      </c>
      <c r="I734" s="148"/>
      <c r="J734" s="170">
        <f t="shared" si="32"/>
        <v>276.99</v>
      </c>
      <c r="K734" s="10"/>
      <c r="L734" s="10"/>
      <c r="M734" s="10"/>
      <c r="N734" s="10"/>
      <c r="O734" s="10"/>
      <c r="P734" s="10"/>
      <c r="Q734" s="10"/>
      <c r="R734" s="10"/>
      <c r="S734" s="10"/>
      <c r="T734" s="10"/>
      <c r="U734" s="10"/>
      <c r="V734" s="10"/>
      <c r="W734" s="10"/>
      <c r="X734" s="10"/>
      <c r="Y734" s="10"/>
    </row>
    <row r="735" spans="1:25" ht="16.5" customHeight="1" x14ac:dyDescent="0.2">
      <c r="A735" s="318" t="s">
        <v>687</v>
      </c>
      <c r="B735" s="319"/>
      <c r="C735" s="33" t="s">
        <v>322</v>
      </c>
      <c r="D735" s="148"/>
      <c r="E735" s="148"/>
      <c r="F735" s="148"/>
      <c r="G735" s="148">
        <v>7</v>
      </c>
      <c r="H735" s="148">
        <v>39.57</v>
      </c>
      <c r="I735" s="148"/>
      <c r="J735" s="170">
        <f t="shared" si="32"/>
        <v>276.99</v>
      </c>
      <c r="K735" s="10"/>
      <c r="L735" s="10"/>
      <c r="M735" s="10"/>
      <c r="N735" s="10"/>
      <c r="O735" s="10"/>
      <c r="P735" s="10"/>
      <c r="Q735" s="10"/>
      <c r="R735" s="10"/>
      <c r="S735" s="10"/>
      <c r="T735" s="10"/>
      <c r="U735" s="10"/>
      <c r="V735" s="10"/>
      <c r="W735" s="10"/>
      <c r="X735" s="10"/>
      <c r="Y735" s="10"/>
    </row>
    <row r="736" spans="1:25" ht="16.5" customHeight="1" x14ac:dyDescent="0.2">
      <c r="A736" s="318" t="s">
        <v>793</v>
      </c>
      <c r="B736" s="319"/>
      <c r="C736" s="33" t="s">
        <v>322</v>
      </c>
      <c r="D736" s="148"/>
      <c r="E736" s="148"/>
      <c r="F736" s="148"/>
      <c r="G736" s="148">
        <v>7</v>
      </c>
      <c r="H736" s="148">
        <f>ROUND(4.44*4.63,2)</f>
        <v>20.56</v>
      </c>
      <c r="I736" s="148"/>
      <c r="J736" s="170">
        <f t="shared" si="32"/>
        <v>143.91999999999999</v>
      </c>
      <c r="K736" s="10"/>
      <c r="L736" s="10"/>
      <c r="M736" s="10"/>
      <c r="N736" s="10"/>
      <c r="O736" s="10"/>
      <c r="P736" s="10"/>
      <c r="Q736" s="10"/>
      <c r="R736" s="10"/>
      <c r="S736" s="10"/>
      <c r="T736" s="10"/>
      <c r="U736" s="10"/>
      <c r="V736" s="10"/>
      <c r="W736" s="10"/>
      <c r="X736" s="10"/>
      <c r="Y736" s="10"/>
    </row>
    <row r="737" spans="1:25" ht="16.5" customHeight="1" x14ac:dyDescent="0.2">
      <c r="A737" s="342" t="str">
        <f>"TOTAL - "&amp;'Planilha orçamentária'!F59</f>
        <v>TOTAL - M2</v>
      </c>
      <c r="B737" s="342"/>
      <c r="C737" s="342"/>
      <c r="D737" s="342"/>
      <c r="E737" s="342"/>
      <c r="F737" s="342"/>
      <c r="G737" s="342"/>
      <c r="H737" s="342"/>
      <c r="I737" s="342"/>
      <c r="J737" s="149">
        <f>SUM(J717:J736)</f>
        <v>5007.5199999999986</v>
      </c>
      <c r="K737" s="10"/>
      <c r="L737" s="10"/>
      <c r="M737" s="10"/>
      <c r="N737" s="10"/>
      <c r="O737" s="10"/>
      <c r="P737" s="10"/>
      <c r="Q737" s="10"/>
      <c r="R737" s="10"/>
      <c r="S737" s="10"/>
      <c r="T737" s="10"/>
      <c r="U737" s="10"/>
      <c r="V737" s="10"/>
      <c r="W737" s="10"/>
      <c r="X737" s="10"/>
      <c r="Y737" s="10"/>
    </row>
    <row r="738" spans="1:25" ht="16.5" customHeight="1" x14ac:dyDescent="0.2">
      <c r="A738" s="35">
        <f>'Planilha orçamentária'!A61</f>
        <v>9</v>
      </c>
      <c r="B738" s="397" t="str">
        <f>'Planilha orçamentária'!D61</f>
        <v>BANCADAS</v>
      </c>
      <c r="C738" s="393"/>
      <c r="D738" s="393"/>
      <c r="E738" s="393"/>
      <c r="F738" s="393"/>
      <c r="G738" s="393"/>
      <c r="H738" s="393"/>
      <c r="I738" s="393"/>
      <c r="J738" s="393"/>
      <c r="K738" s="10"/>
      <c r="L738" s="34"/>
      <c r="M738" s="10"/>
      <c r="N738" s="34"/>
      <c r="O738" s="10"/>
      <c r="P738" s="10"/>
      <c r="Q738" s="10"/>
      <c r="R738" s="10"/>
      <c r="S738" s="10"/>
      <c r="T738" s="10"/>
      <c r="U738" s="10"/>
      <c r="V738" s="10"/>
      <c r="W738" s="10"/>
      <c r="X738" s="10"/>
      <c r="Y738" s="10"/>
    </row>
    <row r="739" spans="1:25" ht="16.5" customHeight="1" x14ac:dyDescent="0.2">
      <c r="A739" s="184" t="str">
        <f>'Planilha orçamentária'!A62</f>
        <v>9.1</v>
      </c>
      <c r="B739" s="343" t="str">
        <f>'Planilha orçamentária'!D62</f>
        <v>Bancada em granito cinza andorinha e = 3 cm, apoiada em console de metalon 20 x 30 mm</v>
      </c>
      <c r="C739" s="344"/>
      <c r="D739" s="344"/>
      <c r="E739" s="344"/>
      <c r="F739" s="344"/>
      <c r="G739" s="344"/>
      <c r="H739" s="344"/>
      <c r="I739" s="344"/>
      <c r="J739" s="344"/>
      <c r="K739" s="10"/>
      <c r="L739" s="10"/>
      <c r="M739" s="10"/>
      <c r="N739" s="10"/>
      <c r="O739" s="10"/>
      <c r="P739" s="10"/>
      <c r="Q739" s="10"/>
      <c r="R739" s="10"/>
      <c r="S739" s="10"/>
      <c r="T739" s="10"/>
      <c r="U739" s="10"/>
      <c r="V739" s="10"/>
      <c r="W739" s="10"/>
      <c r="X739" s="10"/>
      <c r="Y739" s="10"/>
    </row>
    <row r="740" spans="1:25" ht="25.5" customHeight="1" x14ac:dyDescent="0.2">
      <c r="A740" s="327" t="s">
        <v>120</v>
      </c>
      <c r="B740" s="328"/>
      <c r="C740" s="328"/>
      <c r="D740" s="182" t="s">
        <v>121</v>
      </c>
      <c r="E740" s="182" t="s">
        <v>122</v>
      </c>
      <c r="F740" s="181" t="s">
        <v>123</v>
      </c>
      <c r="G740" s="181" t="s">
        <v>124</v>
      </c>
      <c r="H740" s="181" t="s">
        <v>489</v>
      </c>
      <c r="I740" s="182" t="s">
        <v>125</v>
      </c>
      <c r="J740" s="182" t="s">
        <v>113</v>
      </c>
      <c r="K740" s="10"/>
      <c r="L740" s="10"/>
      <c r="M740" s="10"/>
      <c r="N740" s="10"/>
      <c r="O740" s="10"/>
      <c r="P740" s="10"/>
      <c r="Q740" s="10"/>
      <c r="R740" s="10"/>
      <c r="S740" s="10"/>
      <c r="T740" s="10"/>
      <c r="U740" s="10"/>
      <c r="V740" s="10"/>
      <c r="W740" s="10"/>
      <c r="X740" s="10"/>
      <c r="Y740" s="10"/>
    </row>
    <row r="741" spans="1:25" ht="16.5" customHeight="1" x14ac:dyDescent="0.2">
      <c r="A741" s="336" t="s">
        <v>633</v>
      </c>
      <c r="B741" s="337"/>
      <c r="C741" s="337"/>
      <c r="D741" s="337"/>
      <c r="E741" s="337"/>
      <c r="F741" s="337"/>
      <c r="G741" s="337"/>
      <c r="H741" s="337"/>
      <c r="I741" s="337"/>
      <c r="J741" s="338"/>
      <c r="K741" s="10"/>
      <c r="L741" s="10"/>
      <c r="M741" s="10"/>
      <c r="N741" s="10"/>
      <c r="O741" s="10"/>
      <c r="P741" s="10"/>
      <c r="Q741" s="10"/>
      <c r="R741" s="10"/>
      <c r="S741" s="10"/>
      <c r="T741" s="10"/>
      <c r="U741" s="10"/>
      <c r="V741" s="10"/>
      <c r="W741" s="10"/>
      <c r="X741" s="10"/>
      <c r="Y741" s="10"/>
    </row>
    <row r="742" spans="1:25" s="166" customFormat="1" ht="16.5" customHeight="1" x14ac:dyDescent="0.2">
      <c r="A742" s="318" t="s">
        <v>671</v>
      </c>
      <c r="B742" s="319"/>
      <c r="C742" s="332"/>
      <c r="D742" s="148">
        <v>1.2</v>
      </c>
      <c r="E742" s="148">
        <v>0.5</v>
      </c>
      <c r="F742" s="148"/>
      <c r="G742" s="148">
        <v>1</v>
      </c>
      <c r="H742" s="148">
        <v>7</v>
      </c>
      <c r="I742" s="148"/>
      <c r="J742" s="170">
        <f t="shared" ref="J742:J757" si="33">PRODUCT(D742:H742)-I742</f>
        <v>4.2</v>
      </c>
      <c r="K742" s="10"/>
      <c r="L742" s="10"/>
      <c r="M742" s="10"/>
      <c r="N742" s="10"/>
      <c r="O742" s="10"/>
      <c r="P742" s="10"/>
      <c r="Q742" s="10"/>
      <c r="R742" s="10"/>
      <c r="S742" s="10"/>
      <c r="T742" s="10"/>
      <c r="U742" s="10"/>
      <c r="V742" s="10"/>
      <c r="W742" s="10"/>
      <c r="X742" s="10"/>
      <c r="Y742" s="10"/>
    </row>
    <row r="743" spans="1:25" s="166" customFormat="1" ht="16.5" customHeight="1" x14ac:dyDescent="0.2">
      <c r="A743" s="318" t="s">
        <v>672</v>
      </c>
      <c r="B743" s="319"/>
      <c r="C743" s="332"/>
      <c r="D743" s="148">
        <v>1.2</v>
      </c>
      <c r="E743" s="148">
        <v>0.5</v>
      </c>
      <c r="F743" s="148"/>
      <c r="G743" s="148">
        <v>1</v>
      </c>
      <c r="H743" s="148">
        <v>7</v>
      </c>
      <c r="I743" s="148"/>
      <c r="J743" s="170">
        <f t="shared" si="33"/>
        <v>4.2</v>
      </c>
      <c r="K743" s="10"/>
      <c r="L743" s="10"/>
      <c r="M743" s="10"/>
      <c r="N743" s="10"/>
      <c r="O743" s="10"/>
      <c r="P743" s="10"/>
      <c r="Q743" s="10"/>
      <c r="R743" s="10"/>
      <c r="S743" s="10"/>
      <c r="T743" s="10"/>
      <c r="U743" s="10"/>
      <c r="V743" s="10"/>
      <c r="W743" s="10"/>
      <c r="X743" s="10"/>
      <c r="Y743" s="10"/>
    </row>
    <row r="744" spans="1:25" s="166" customFormat="1" ht="16.5" customHeight="1" x14ac:dyDescent="0.2">
      <c r="A744" s="318" t="s">
        <v>673</v>
      </c>
      <c r="B744" s="319"/>
      <c r="C744" s="332"/>
      <c r="D744" s="148">
        <v>1.2</v>
      </c>
      <c r="E744" s="148">
        <v>0.5</v>
      </c>
      <c r="F744" s="148"/>
      <c r="G744" s="148">
        <v>1</v>
      </c>
      <c r="H744" s="148">
        <v>7</v>
      </c>
      <c r="I744" s="148"/>
      <c r="J744" s="170">
        <f t="shared" si="33"/>
        <v>4.2</v>
      </c>
      <c r="K744" s="10"/>
      <c r="L744" s="10"/>
      <c r="M744" s="10"/>
      <c r="N744" s="10"/>
      <c r="O744" s="10"/>
      <c r="P744" s="10"/>
      <c r="Q744" s="10"/>
      <c r="R744" s="10"/>
      <c r="S744" s="10"/>
      <c r="T744" s="10"/>
      <c r="U744" s="10"/>
      <c r="V744" s="10"/>
      <c r="W744" s="10"/>
      <c r="X744" s="10"/>
      <c r="Y744" s="10"/>
    </row>
    <row r="745" spans="1:25" s="166" customFormat="1" ht="16.5" customHeight="1" x14ac:dyDescent="0.2">
      <c r="A745" s="318" t="s">
        <v>766</v>
      </c>
      <c r="B745" s="319"/>
      <c r="C745" s="332"/>
      <c r="D745" s="148">
        <v>1.2</v>
      </c>
      <c r="E745" s="148">
        <v>0.5</v>
      </c>
      <c r="F745" s="148"/>
      <c r="G745" s="148">
        <v>1</v>
      </c>
      <c r="H745" s="148">
        <v>7</v>
      </c>
      <c r="I745" s="148"/>
      <c r="J745" s="170">
        <f t="shared" si="33"/>
        <v>4.2</v>
      </c>
      <c r="K745" s="10"/>
      <c r="L745" s="10"/>
      <c r="M745" s="10"/>
      <c r="N745" s="10"/>
      <c r="O745" s="10"/>
      <c r="P745" s="10"/>
      <c r="Q745" s="10"/>
      <c r="R745" s="10"/>
      <c r="S745" s="10"/>
      <c r="T745" s="10"/>
      <c r="U745" s="10"/>
      <c r="V745" s="10"/>
      <c r="W745" s="10"/>
      <c r="X745" s="10"/>
      <c r="Y745" s="10"/>
    </row>
    <row r="746" spans="1:25" s="166" customFormat="1" ht="16.5" customHeight="1" x14ac:dyDescent="0.2">
      <c r="A746" s="318" t="s">
        <v>794</v>
      </c>
      <c r="B746" s="319"/>
      <c r="C746" s="332"/>
      <c r="D746" s="148">
        <v>1.2</v>
      </c>
      <c r="E746" s="148">
        <v>0.5</v>
      </c>
      <c r="F746" s="148"/>
      <c r="G746" s="148">
        <v>1</v>
      </c>
      <c r="H746" s="148">
        <v>7</v>
      </c>
      <c r="I746" s="148"/>
      <c r="J746" s="170">
        <f t="shared" si="33"/>
        <v>4.2</v>
      </c>
      <c r="K746" s="10"/>
      <c r="L746" s="10"/>
      <c r="M746" s="10"/>
      <c r="N746" s="10"/>
      <c r="O746" s="10"/>
      <c r="P746" s="10"/>
      <c r="Q746" s="10"/>
      <c r="R746" s="10"/>
      <c r="S746" s="10"/>
      <c r="T746" s="10"/>
      <c r="U746" s="10"/>
      <c r="V746" s="10"/>
      <c r="W746" s="10"/>
      <c r="X746" s="10"/>
      <c r="Y746" s="10"/>
    </row>
    <row r="747" spans="1:25" s="166" customFormat="1" ht="16.5" customHeight="1" x14ac:dyDescent="0.2">
      <c r="A747" s="318" t="s">
        <v>795</v>
      </c>
      <c r="B747" s="319"/>
      <c r="C747" s="332"/>
      <c r="D747" s="148">
        <v>1.2</v>
      </c>
      <c r="E747" s="148">
        <v>0.5</v>
      </c>
      <c r="F747" s="148"/>
      <c r="G747" s="148">
        <v>1</v>
      </c>
      <c r="H747" s="148">
        <v>7</v>
      </c>
      <c r="I747" s="148"/>
      <c r="J747" s="170">
        <f t="shared" si="33"/>
        <v>4.2</v>
      </c>
      <c r="K747" s="10"/>
      <c r="L747" s="10"/>
      <c r="M747" s="10"/>
      <c r="N747" s="10"/>
      <c r="O747" s="10"/>
      <c r="P747" s="10"/>
      <c r="Q747" s="10"/>
      <c r="R747" s="10"/>
      <c r="S747" s="10"/>
      <c r="T747" s="10"/>
      <c r="U747" s="10"/>
      <c r="V747" s="10"/>
      <c r="W747" s="10"/>
      <c r="X747" s="10"/>
      <c r="Y747" s="10"/>
    </row>
    <row r="748" spans="1:25" s="166" customFormat="1" ht="16.5" customHeight="1" x14ac:dyDescent="0.2">
      <c r="A748" s="318" t="s">
        <v>796</v>
      </c>
      <c r="B748" s="319"/>
      <c r="C748" s="332"/>
      <c r="D748" s="148">
        <v>1.2</v>
      </c>
      <c r="E748" s="148">
        <v>0.5</v>
      </c>
      <c r="F748" s="148"/>
      <c r="G748" s="148">
        <v>1</v>
      </c>
      <c r="H748" s="148">
        <v>7</v>
      </c>
      <c r="I748" s="148"/>
      <c r="J748" s="170">
        <f t="shared" si="33"/>
        <v>4.2</v>
      </c>
      <c r="K748" s="10"/>
      <c r="L748" s="10"/>
      <c r="M748" s="10"/>
      <c r="N748" s="10"/>
      <c r="O748" s="10"/>
      <c r="P748" s="10"/>
      <c r="Q748" s="10"/>
      <c r="R748" s="10"/>
      <c r="S748" s="10"/>
      <c r="T748" s="10"/>
      <c r="U748" s="10"/>
      <c r="V748" s="10"/>
      <c r="W748" s="10"/>
      <c r="X748" s="10"/>
      <c r="Y748" s="10"/>
    </row>
    <row r="749" spans="1:25" s="166" customFormat="1" ht="16.5" customHeight="1" x14ac:dyDescent="0.2">
      <c r="A749" s="318" t="s">
        <v>797</v>
      </c>
      <c r="B749" s="319"/>
      <c r="C749" s="332"/>
      <c r="D749" s="148">
        <v>1.2</v>
      </c>
      <c r="E749" s="148">
        <v>0.5</v>
      </c>
      <c r="F749" s="148"/>
      <c r="G749" s="148">
        <v>1</v>
      </c>
      <c r="H749" s="148">
        <v>7</v>
      </c>
      <c r="I749" s="148"/>
      <c r="J749" s="170">
        <f t="shared" si="33"/>
        <v>4.2</v>
      </c>
      <c r="K749" s="10"/>
      <c r="L749" s="10"/>
      <c r="M749" s="10"/>
      <c r="N749" s="10"/>
      <c r="O749" s="10"/>
      <c r="P749" s="10"/>
      <c r="Q749" s="10"/>
      <c r="R749" s="10"/>
      <c r="S749" s="10"/>
      <c r="T749" s="10"/>
      <c r="U749" s="10"/>
      <c r="V749" s="10"/>
      <c r="W749" s="10"/>
      <c r="X749" s="10"/>
      <c r="Y749" s="10"/>
    </row>
    <row r="750" spans="1:25" s="166" customFormat="1" ht="16.5" customHeight="1" x14ac:dyDescent="0.2">
      <c r="A750" s="318" t="s">
        <v>798</v>
      </c>
      <c r="B750" s="319"/>
      <c r="C750" s="332"/>
      <c r="D750" s="148">
        <v>1.2</v>
      </c>
      <c r="E750" s="148">
        <v>0.5</v>
      </c>
      <c r="F750" s="148"/>
      <c r="G750" s="148">
        <v>1</v>
      </c>
      <c r="H750" s="148">
        <v>7</v>
      </c>
      <c r="I750" s="148"/>
      <c r="J750" s="170">
        <f t="shared" si="33"/>
        <v>4.2</v>
      </c>
      <c r="K750" s="10"/>
      <c r="L750" s="10"/>
      <c r="M750" s="10"/>
      <c r="N750" s="10"/>
      <c r="O750" s="10"/>
      <c r="P750" s="10"/>
      <c r="Q750" s="10"/>
      <c r="R750" s="10"/>
      <c r="S750" s="10"/>
      <c r="T750" s="10"/>
      <c r="U750" s="10"/>
      <c r="V750" s="10"/>
      <c r="W750" s="10"/>
      <c r="X750" s="10"/>
      <c r="Y750" s="10"/>
    </row>
    <row r="751" spans="1:25" s="166" customFormat="1" ht="16.5" customHeight="1" x14ac:dyDescent="0.2">
      <c r="A751" s="318" t="s">
        <v>799</v>
      </c>
      <c r="B751" s="319"/>
      <c r="C751" s="332"/>
      <c r="D751" s="148">
        <v>1.2</v>
      </c>
      <c r="E751" s="148">
        <v>0.5</v>
      </c>
      <c r="F751" s="148"/>
      <c r="G751" s="148">
        <v>1</v>
      </c>
      <c r="H751" s="148">
        <v>7</v>
      </c>
      <c r="I751" s="148"/>
      <c r="J751" s="170">
        <f t="shared" si="33"/>
        <v>4.2</v>
      </c>
      <c r="K751" s="10"/>
      <c r="L751" s="10"/>
      <c r="M751" s="10"/>
      <c r="N751" s="10"/>
      <c r="O751" s="10"/>
      <c r="P751" s="10"/>
      <c r="Q751" s="10"/>
      <c r="R751" s="10"/>
      <c r="S751" s="10"/>
      <c r="T751" s="10"/>
      <c r="U751" s="10"/>
      <c r="V751" s="10"/>
      <c r="W751" s="10"/>
      <c r="X751" s="10"/>
      <c r="Y751" s="10"/>
    </row>
    <row r="752" spans="1:25" s="166" customFormat="1" ht="16.5" customHeight="1" x14ac:dyDescent="0.2">
      <c r="A752" s="318" t="s">
        <v>681</v>
      </c>
      <c r="B752" s="319"/>
      <c r="C752" s="332"/>
      <c r="D752" s="148">
        <v>1.2</v>
      </c>
      <c r="E752" s="148">
        <v>0.5</v>
      </c>
      <c r="F752" s="148"/>
      <c r="G752" s="148">
        <v>1</v>
      </c>
      <c r="H752" s="148">
        <v>7</v>
      </c>
      <c r="I752" s="148"/>
      <c r="J752" s="170">
        <f t="shared" si="33"/>
        <v>4.2</v>
      </c>
      <c r="K752" s="10"/>
      <c r="L752" s="10"/>
      <c r="M752" s="10"/>
      <c r="N752" s="10"/>
      <c r="O752" s="10"/>
      <c r="P752" s="10"/>
      <c r="Q752" s="10"/>
      <c r="R752" s="10"/>
      <c r="S752" s="10"/>
      <c r="T752" s="10"/>
      <c r="U752" s="10"/>
      <c r="V752" s="10"/>
      <c r="W752" s="10"/>
      <c r="X752" s="10"/>
      <c r="Y752" s="10"/>
    </row>
    <row r="753" spans="1:25" s="166" customFormat="1" ht="16.5" customHeight="1" x14ac:dyDescent="0.2">
      <c r="A753" s="318" t="s">
        <v>800</v>
      </c>
      <c r="B753" s="319"/>
      <c r="C753" s="332"/>
      <c r="D753" s="148">
        <v>1.2</v>
      </c>
      <c r="E753" s="148">
        <v>0.5</v>
      </c>
      <c r="F753" s="148"/>
      <c r="G753" s="148">
        <v>1</v>
      </c>
      <c r="H753" s="148">
        <v>7</v>
      </c>
      <c r="I753" s="148"/>
      <c r="J753" s="170">
        <f t="shared" si="33"/>
        <v>4.2</v>
      </c>
      <c r="K753" s="10"/>
      <c r="L753" s="10"/>
      <c r="M753" s="10"/>
      <c r="N753" s="10"/>
      <c r="O753" s="10"/>
      <c r="P753" s="10"/>
      <c r="Q753" s="10"/>
      <c r="R753" s="10"/>
      <c r="S753" s="10"/>
      <c r="T753" s="10"/>
      <c r="U753" s="10"/>
      <c r="V753" s="10"/>
      <c r="W753" s="10"/>
      <c r="X753" s="10"/>
      <c r="Y753" s="10"/>
    </row>
    <row r="754" spans="1:25" s="166" customFormat="1" ht="16.5" customHeight="1" x14ac:dyDescent="0.2">
      <c r="A754" s="318" t="s">
        <v>801</v>
      </c>
      <c r="B754" s="319"/>
      <c r="C754" s="332"/>
      <c r="D754" s="148">
        <v>1.2</v>
      </c>
      <c r="E754" s="148">
        <v>0.5</v>
      </c>
      <c r="F754" s="148"/>
      <c r="G754" s="148">
        <v>1</v>
      </c>
      <c r="H754" s="148">
        <v>7</v>
      </c>
      <c r="I754" s="148"/>
      <c r="J754" s="170">
        <f t="shared" si="33"/>
        <v>4.2</v>
      </c>
      <c r="K754" s="10"/>
      <c r="L754" s="10"/>
      <c r="M754" s="10"/>
      <c r="N754" s="10"/>
      <c r="O754" s="10"/>
      <c r="P754" s="10"/>
      <c r="Q754" s="10"/>
      <c r="R754" s="10"/>
      <c r="S754" s="10"/>
      <c r="T754" s="10"/>
      <c r="U754" s="10"/>
      <c r="V754" s="10"/>
      <c r="W754" s="10"/>
      <c r="X754" s="10"/>
      <c r="Y754" s="10"/>
    </row>
    <row r="755" spans="1:25" s="166" customFormat="1" ht="16.5" customHeight="1" x14ac:dyDescent="0.2">
      <c r="A755" s="318" t="s">
        <v>802</v>
      </c>
      <c r="B755" s="319"/>
      <c r="C755" s="332"/>
      <c r="D755" s="148">
        <v>1.2</v>
      </c>
      <c r="E755" s="148">
        <v>0.5</v>
      </c>
      <c r="F755" s="148"/>
      <c r="G755" s="148">
        <v>1</v>
      </c>
      <c r="H755" s="148">
        <v>7</v>
      </c>
      <c r="I755" s="148"/>
      <c r="J755" s="170">
        <f t="shared" si="33"/>
        <v>4.2</v>
      </c>
      <c r="K755" s="10"/>
      <c r="L755" s="10"/>
      <c r="M755" s="10"/>
      <c r="N755" s="10"/>
      <c r="O755" s="10"/>
      <c r="P755" s="10"/>
      <c r="Q755" s="10"/>
      <c r="R755" s="10"/>
      <c r="S755" s="10"/>
      <c r="T755" s="10"/>
      <c r="U755" s="10"/>
      <c r="V755" s="10"/>
      <c r="W755" s="10"/>
      <c r="X755" s="10"/>
      <c r="Y755" s="10"/>
    </row>
    <row r="756" spans="1:25" s="166" customFormat="1" ht="16.5" customHeight="1" x14ac:dyDescent="0.2">
      <c r="A756" s="318" t="s">
        <v>803</v>
      </c>
      <c r="B756" s="319"/>
      <c r="C756" s="332"/>
      <c r="D756" s="148">
        <v>1.2</v>
      </c>
      <c r="E756" s="148">
        <v>0.5</v>
      </c>
      <c r="F756" s="148"/>
      <c r="G756" s="148">
        <v>1</v>
      </c>
      <c r="H756" s="148">
        <v>7</v>
      </c>
      <c r="I756" s="148"/>
      <c r="J756" s="170">
        <f t="shared" si="33"/>
        <v>4.2</v>
      </c>
      <c r="K756" s="10"/>
      <c r="L756" s="10"/>
      <c r="M756" s="10"/>
      <c r="N756" s="10"/>
      <c r="O756" s="10"/>
      <c r="P756" s="10"/>
      <c r="Q756" s="10"/>
      <c r="R756" s="10"/>
      <c r="S756" s="10"/>
      <c r="T756" s="10"/>
      <c r="U756" s="10"/>
      <c r="V756" s="10"/>
      <c r="W756" s="10"/>
      <c r="X756" s="10"/>
      <c r="Y756" s="10"/>
    </row>
    <row r="757" spans="1:25" s="166" customFormat="1" ht="16.5" customHeight="1" x14ac:dyDescent="0.2">
      <c r="A757" s="318" t="s">
        <v>804</v>
      </c>
      <c r="B757" s="319"/>
      <c r="C757" s="332"/>
      <c r="D757" s="148">
        <v>1.2</v>
      </c>
      <c r="E757" s="148">
        <v>0.5</v>
      </c>
      <c r="F757" s="148"/>
      <c r="G757" s="148">
        <v>1</v>
      </c>
      <c r="H757" s="148">
        <v>7</v>
      </c>
      <c r="I757" s="148"/>
      <c r="J757" s="170">
        <f t="shared" si="33"/>
        <v>4.2</v>
      </c>
      <c r="K757" s="10"/>
      <c r="L757" s="10"/>
      <c r="M757" s="10"/>
      <c r="N757" s="10"/>
      <c r="O757" s="10"/>
      <c r="P757" s="10"/>
      <c r="Q757" s="10"/>
      <c r="R757" s="10"/>
      <c r="S757" s="10"/>
      <c r="T757" s="10"/>
      <c r="U757" s="10"/>
      <c r="V757" s="10"/>
      <c r="W757" s="10"/>
      <c r="X757" s="10"/>
      <c r="Y757" s="10"/>
    </row>
    <row r="758" spans="1:25" ht="16.5" customHeight="1" x14ac:dyDescent="0.2">
      <c r="A758" s="342" t="str">
        <f>"TOTAL - "&amp;'Planilha orçamentária'!F62</f>
        <v>TOTAL - M2</v>
      </c>
      <c r="B758" s="342"/>
      <c r="C758" s="342"/>
      <c r="D758" s="342"/>
      <c r="E758" s="342"/>
      <c r="F758" s="342"/>
      <c r="G758" s="342"/>
      <c r="H758" s="342"/>
      <c r="I758" s="342"/>
      <c r="J758" s="149">
        <f>SUM(J742:J757)</f>
        <v>67.200000000000017</v>
      </c>
      <c r="K758" s="10"/>
      <c r="L758" s="10"/>
      <c r="M758" s="10"/>
      <c r="N758" s="10"/>
      <c r="O758" s="10"/>
      <c r="P758" s="10"/>
      <c r="Q758" s="10"/>
      <c r="R758" s="10"/>
      <c r="S758" s="10"/>
      <c r="T758" s="10"/>
      <c r="U758" s="10"/>
      <c r="V758" s="10"/>
      <c r="W758" s="10"/>
      <c r="X758" s="10"/>
      <c r="Y758" s="10"/>
    </row>
    <row r="759" spans="1:25" ht="16.5" customHeight="1" x14ac:dyDescent="0.2">
      <c r="A759" s="184" t="str">
        <f>'Planilha orçamentária'!A63</f>
        <v>9.2</v>
      </c>
      <c r="B759" s="343" t="str">
        <f>'Planilha orçamentária'!D63</f>
        <v>Rodabancada/frontão para bancada em granito, cor cinza andorinha, esp. 2cm, altura de 10cm, inclusive rejuntamento em massa plástica na cor da pedra</v>
      </c>
      <c r="C759" s="344"/>
      <c r="D759" s="344"/>
      <c r="E759" s="344"/>
      <c r="F759" s="344"/>
      <c r="G759" s="344"/>
      <c r="H759" s="344"/>
      <c r="I759" s="344"/>
      <c r="J759" s="344"/>
      <c r="K759" s="10"/>
      <c r="L759" s="10"/>
      <c r="M759" s="10"/>
      <c r="N759" s="10"/>
      <c r="O759" s="10"/>
      <c r="P759" s="10"/>
      <c r="Q759" s="10"/>
      <c r="R759" s="10"/>
      <c r="S759" s="10"/>
      <c r="T759" s="10"/>
      <c r="U759" s="10"/>
      <c r="V759" s="10"/>
      <c r="W759" s="10"/>
      <c r="X759" s="10"/>
      <c r="Y759" s="10"/>
    </row>
    <row r="760" spans="1:25" ht="25.5" customHeight="1" x14ac:dyDescent="0.2">
      <c r="A760" s="327" t="s">
        <v>120</v>
      </c>
      <c r="B760" s="328"/>
      <c r="C760" s="328"/>
      <c r="D760" s="182" t="s">
        <v>121</v>
      </c>
      <c r="E760" s="182" t="s">
        <v>122</v>
      </c>
      <c r="F760" s="181" t="s">
        <v>123</v>
      </c>
      <c r="G760" s="181" t="s">
        <v>468</v>
      </c>
      <c r="H760" s="181" t="s">
        <v>489</v>
      </c>
      <c r="I760" s="182" t="s">
        <v>125</v>
      </c>
      <c r="J760" s="182" t="s">
        <v>113</v>
      </c>
      <c r="K760" s="10"/>
      <c r="L760" s="10"/>
      <c r="M760" s="10"/>
      <c r="N760" s="10"/>
      <c r="O760" s="10"/>
      <c r="P760" s="10"/>
      <c r="Q760" s="10"/>
      <c r="R760" s="10"/>
      <c r="S760" s="10"/>
      <c r="T760" s="10"/>
      <c r="U760" s="10"/>
      <c r="V760" s="10"/>
      <c r="W760" s="10"/>
      <c r="X760" s="10"/>
      <c r="Y760" s="10"/>
    </row>
    <row r="761" spans="1:25" ht="16.5" customHeight="1" x14ac:dyDescent="0.2">
      <c r="A761" s="318" t="s">
        <v>671</v>
      </c>
      <c r="B761" s="319"/>
      <c r="C761" s="332"/>
      <c r="D761" s="148">
        <v>1.2</v>
      </c>
      <c r="E761" s="148"/>
      <c r="F761" s="148"/>
      <c r="G761" s="148">
        <v>1</v>
      </c>
      <c r="H761" s="148">
        <v>7</v>
      </c>
      <c r="I761" s="148"/>
      <c r="J761" s="170">
        <f t="shared" ref="J761:J776" si="34">PRODUCT(D761:H761)-I761</f>
        <v>8.4</v>
      </c>
      <c r="K761" s="10"/>
      <c r="L761" s="10"/>
      <c r="M761" s="10"/>
      <c r="N761" s="10"/>
      <c r="O761" s="10"/>
      <c r="P761" s="10"/>
      <c r="Q761" s="10"/>
      <c r="R761" s="10"/>
      <c r="S761" s="10"/>
      <c r="T761" s="10"/>
      <c r="U761" s="10"/>
      <c r="V761" s="10"/>
      <c r="W761" s="10"/>
      <c r="X761" s="10"/>
      <c r="Y761" s="10"/>
    </row>
    <row r="762" spans="1:25" ht="16.5" customHeight="1" x14ac:dyDescent="0.2">
      <c r="A762" s="318" t="s">
        <v>672</v>
      </c>
      <c r="B762" s="319"/>
      <c r="C762" s="332"/>
      <c r="D762" s="148">
        <v>1.2</v>
      </c>
      <c r="E762" s="148"/>
      <c r="F762" s="148"/>
      <c r="G762" s="148">
        <v>1</v>
      </c>
      <c r="H762" s="148">
        <v>7</v>
      </c>
      <c r="I762" s="148"/>
      <c r="J762" s="170">
        <f t="shared" si="34"/>
        <v>8.4</v>
      </c>
      <c r="K762" s="10"/>
      <c r="L762" s="10"/>
      <c r="M762" s="10"/>
      <c r="N762" s="10"/>
      <c r="O762" s="10"/>
      <c r="P762" s="10"/>
      <c r="Q762" s="10"/>
      <c r="R762" s="10"/>
      <c r="S762" s="10"/>
      <c r="T762" s="10"/>
      <c r="U762" s="10"/>
      <c r="V762" s="10"/>
      <c r="W762" s="10"/>
      <c r="X762" s="10"/>
      <c r="Y762" s="10"/>
    </row>
    <row r="763" spans="1:25" ht="16.5" customHeight="1" x14ac:dyDescent="0.2">
      <c r="A763" s="318" t="s">
        <v>673</v>
      </c>
      <c r="B763" s="319"/>
      <c r="C763" s="332"/>
      <c r="D763" s="148">
        <v>1.2</v>
      </c>
      <c r="E763" s="148"/>
      <c r="F763" s="148"/>
      <c r="G763" s="148">
        <v>1</v>
      </c>
      <c r="H763" s="148">
        <v>7</v>
      </c>
      <c r="I763" s="148"/>
      <c r="J763" s="170">
        <f t="shared" si="34"/>
        <v>8.4</v>
      </c>
      <c r="K763" s="10"/>
      <c r="L763" s="10"/>
      <c r="M763" s="10"/>
      <c r="N763" s="10"/>
      <c r="O763" s="10"/>
      <c r="P763" s="10"/>
      <c r="Q763" s="10"/>
      <c r="R763" s="10"/>
      <c r="S763" s="10"/>
      <c r="T763" s="10"/>
      <c r="U763" s="10"/>
      <c r="V763" s="10"/>
      <c r="W763" s="10"/>
      <c r="X763" s="10"/>
      <c r="Y763" s="10"/>
    </row>
    <row r="764" spans="1:25" ht="16.5" customHeight="1" x14ac:dyDescent="0.2">
      <c r="A764" s="318" t="s">
        <v>766</v>
      </c>
      <c r="B764" s="319"/>
      <c r="C764" s="332"/>
      <c r="D764" s="148">
        <v>1.2</v>
      </c>
      <c r="E764" s="148"/>
      <c r="F764" s="148"/>
      <c r="G764" s="148">
        <v>1</v>
      </c>
      <c r="H764" s="148">
        <v>7</v>
      </c>
      <c r="I764" s="148"/>
      <c r="J764" s="170">
        <f t="shared" si="34"/>
        <v>8.4</v>
      </c>
      <c r="K764" s="10"/>
      <c r="L764" s="10"/>
      <c r="M764" s="10"/>
      <c r="N764" s="10"/>
      <c r="O764" s="10"/>
      <c r="P764" s="10"/>
      <c r="Q764" s="10"/>
      <c r="R764" s="10"/>
      <c r="S764" s="10"/>
      <c r="T764" s="10"/>
      <c r="U764" s="10"/>
      <c r="V764" s="10"/>
      <c r="W764" s="10"/>
      <c r="X764" s="10"/>
      <c r="Y764" s="10"/>
    </row>
    <row r="765" spans="1:25" ht="16.5" customHeight="1" x14ac:dyDescent="0.2">
      <c r="A765" s="318" t="s">
        <v>794</v>
      </c>
      <c r="B765" s="319"/>
      <c r="C765" s="332"/>
      <c r="D765" s="148">
        <v>1.2</v>
      </c>
      <c r="E765" s="148"/>
      <c r="F765" s="148"/>
      <c r="G765" s="148">
        <v>1</v>
      </c>
      <c r="H765" s="148">
        <v>7</v>
      </c>
      <c r="I765" s="148"/>
      <c r="J765" s="170">
        <f t="shared" si="34"/>
        <v>8.4</v>
      </c>
      <c r="K765" s="10"/>
      <c r="L765" s="10"/>
      <c r="M765" s="10"/>
      <c r="N765" s="10"/>
      <c r="O765" s="10"/>
      <c r="P765" s="10"/>
      <c r="Q765" s="10"/>
      <c r="R765" s="10"/>
      <c r="S765" s="10"/>
      <c r="T765" s="10"/>
      <c r="U765" s="10"/>
      <c r="V765" s="10"/>
      <c r="W765" s="10"/>
      <c r="X765" s="10"/>
      <c r="Y765" s="10"/>
    </row>
    <row r="766" spans="1:25" ht="16.5" customHeight="1" x14ac:dyDescent="0.2">
      <c r="A766" s="318" t="s">
        <v>795</v>
      </c>
      <c r="B766" s="319"/>
      <c r="C766" s="332"/>
      <c r="D766" s="148">
        <v>1.2</v>
      </c>
      <c r="E766" s="148"/>
      <c r="F766" s="148"/>
      <c r="G766" s="148">
        <v>1</v>
      </c>
      <c r="H766" s="148">
        <v>7</v>
      </c>
      <c r="I766" s="148"/>
      <c r="J766" s="170">
        <f t="shared" si="34"/>
        <v>8.4</v>
      </c>
      <c r="K766" s="10"/>
      <c r="L766" s="10"/>
      <c r="M766" s="10"/>
      <c r="N766" s="10"/>
      <c r="O766" s="10"/>
      <c r="P766" s="10"/>
      <c r="Q766" s="10"/>
      <c r="R766" s="10"/>
      <c r="S766" s="10"/>
      <c r="T766" s="10"/>
      <c r="U766" s="10"/>
      <c r="V766" s="10"/>
      <c r="W766" s="10"/>
      <c r="X766" s="10"/>
      <c r="Y766" s="10"/>
    </row>
    <row r="767" spans="1:25" ht="16.5" customHeight="1" x14ac:dyDescent="0.2">
      <c r="A767" s="318" t="s">
        <v>796</v>
      </c>
      <c r="B767" s="319"/>
      <c r="C767" s="332"/>
      <c r="D767" s="148">
        <v>1.2</v>
      </c>
      <c r="E767" s="148"/>
      <c r="F767" s="148"/>
      <c r="G767" s="148">
        <v>1</v>
      </c>
      <c r="H767" s="148">
        <v>7</v>
      </c>
      <c r="I767" s="148"/>
      <c r="J767" s="170">
        <f t="shared" si="34"/>
        <v>8.4</v>
      </c>
      <c r="K767" s="10"/>
      <c r="L767" s="10"/>
      <c r="M767" s="10"/>
      <c r="N767" s="10"/>
      <c r="O767" s="10"/>
      <c r="P767" s="10"/>
      <c r="Q767" s="10"/>
      <c r="R767" s="10"/>
      <c r="S767" s="10"/>
      <c r="T767" s="10"/>
      <c r="U767" s="10"/>
      <c r="V767" s="10"/>
      <c r="W767" s="10"/>
      <c r="X767" s="10"/>
      <c r="Y767" s="10"/>
    </row>
    <row r="768" spans="1:25" ht="16.5" customHeight="1" x14ac:dyDescent="0.2">
      <c r="A768" s="318" t="s">
        <v>797</v>
      </c>
      <c r="B768" s="319"/>
      <c r="C768" s="332"/>
      <c r="D768" s="148">
        <v>1.2</v>
      </c>
      <c r="E768" s="148"/>
      <c r="F768" s="148"/>
      <c r="G768" s="148">
        <v>1</v>
      </c>
      <c r="H768" s="148">
        <v>7</v>
      </c>
      <c r="I768" s="148"/>
      <c r="J768" s="170">
        <f t="shared" si="34"/>
        <v>8.4</v>
      </c>
      <c r="K768" s="10"/>
      <c r="L768" s="10"/>
      <c r="M768" s="10"/>
      <c r="N768" s="10"/>
      <c r="O768" s="10"/>
      <c r="P768" s="10"/>
      <c r="Q768" s="10"/>
      <c r="R768" s="10"/>
      <c r="S768" s="10"/>
      <c r="T768" s="10"/>
      <c r="U768" s="10"/>
      <c r="V768" s="10"/>
      <c r="W768" s="10"/>
      <c r="X768" s="10"/>
      <c r="Y768" s="10"/>
    </row>
    <row r="769" spans="1:25" ht="16.5" customHeight="1" x14ac:dyDescent="0.2">
      <c r="A769" s="318" t="s">
        <v>798</v>
      </c>
      <c r="B769" s="319"/>
      <c r="C769" s="332"/>
      <c r="D769" s="148">
        <v>1.2</v>
      </c>
      <c r="E769" s="148"/>
      <c r="F769" s="148"/>
      <c r="G769" s="148">
        <v>1</v>
      </c>
      <c r="H769" s="148">
        <v>7</v>
      </c>
      <c r="I769" s="148"/>
      <c r="J769" s="170">
        <f t="shared" si="34"/>
        <v>8.4</v>
      </c>
      <c r="K769" s="10"/>
      <c r="L769" s="10"/>
      <c r="M769" s="10"/>
      <c r="N769" s="10"/>
      <c r="O769" s="10"/>
      <c r="P769" s="10"/>
      <c r="Q769" s="10"/>
      <c r="R769" s="10"/>
      <c r="S769" s="10"/>
      <c r="T769" s="10"/>
      <c r="U769" s="10"/>
      <c r="V769" s="10"/>
      <c r="W769" s="10"/>
      <c r="X769" s="10"/>
      <c r="Y769" s="10"/>
    </row>
    <row r="770" spans="1:25" ht="16.5" customHeight="1" x14ac:dyDescent="0.2">
      <c r="A770" s="318" t="s">
        <v>799</v>
      </c>
      <c r="B770" s="319"/>
      <c r="C770" s="332"/>
      <c r="D770" s="148">
        <v>1.2</v>
      </c>
      <c r="E770" s="148"/>
      <c r="F770" s="148"/>
      <c r="G770" s="148">
        <v>1</v>
      </c>
      <c r="H770" s="148">
        <v>7</v>
      </c>
      <c r="I770" s="148"/>
      <c r="J770" s="170">
        <f t="shared" si="34"/>
        <v>8.4</v>
      </c>
      <c r="K770" s="10"/>
      <c r="L770" s="10"/>
      <c r="M770" s="10"/>
      <c r="N770" s="10"/>
      <c r="O770" s="10"/>
      <c r="P770" s="10"/>
      <c r="Q770" s="10"/>
      <c r="R770" s="10"/>
      <c r="S770" s="10"/>
      <c r="T770" s="10"/>
      <c r="U770" s="10"/>
      <c r="V770" s="10"/>
      <c r="W770" s="10"/>
      <c r="X770" s="10"/>
      <c r="Y770" s="10"/>
    </row>
    <row r="771" spans="1:25" ht="16.5" customHeight="1" x14ac:dyDescent="0.2">
      <c r="A771" s="318" t="s">
        <v>681</v>
      </c>
      <c r="B771" s="319"/>
      <c r="C771" s="332"/>
      <c r="D771" s="148">
        <v>1.2</v>
      </c>
      <c r="E771" s="148"/>
      <c r="F771" s="148"/>
      <c r="G771" s="148">
        <v>1</v>
      </c>
      <c r="H771" s="148">
        <v>7</v>
      </c>
      <c r="I771" s="148"/>
      <c r="J771" s="170">
        <f t="shared" si="34"/>
        <v>8.4</v>
      </c>
      <c r="K771" s="10"/>
      <c r="L771" s="10"/>
      <c r="M771" s="10"/>
      <c r="N771" s="10"/>
      <c r="O771" s="10"/>
      <c r="P771" s="10"/>
      <c r="Q771" s="10"/>
      <c r="R771" s="10"/>
      <c r="S771" s="10"/>
      <c r="T771" s="10"/>
      <c r="U771" s="10"/>
      <c r="V771" s="10"/>
      <c r="W771" s="10"/>
      <c r="X771" s="10"/>
      <c r="Y771" s="10"/>
    </row>
    <row r="772" spans="1:25" ht="16.5" customHeight="1" x14ac:dyDescent="0.2">
      <c r="A772" s="318" t="s">
        <v>800</v>
      </c>
      <c r="B772" s="319"/>
      <c r="C772" s="332"/>
      <c r="D772" s="148">
        <v>1.2</v>
      </c>
      <c r="E772" s="148"/>
      <c r="F772" s="148"/>
      <c r="G772" s="148">
        <v>1</v>
      </c>
      <c r="H772" s="148">
        <v>7</v>
      </c>
      <c r="I772" s="148"/>
      <c r="J772" s="170">
        <f t="shared" si="34"/>
        <v>8.4</v>
      </c>
      <c r="K772" s="10"/>
      <c r="L772" s="10"/>
      <c r="M772" s="10"/>
      <c r="N772" s="10"/>
      <c r="O772" s="10"/>
      <c r="P772" s="10"/>
      <c r="Q772" s="10"/>
      <c r="R772" s="10"/>
      <c r="S772" s="10"/>
      <c r="T772" s="10"/>
      <c r="U772" s="10"/>
      <c r="V772" s="10"/>
      <c r="W772" s="10"/>
      <c r="X772" s="10"/>
      <c r="Y772" s="10"/>
    </row>
    <row r="773" spans="1:25" ht="16.5" customHeight="1" x14ac:dyDescent="0.2">
      <c r="A773" s="318" t="s">
        <v>801</v>
      </c>
      <c r="B773" s="319"/>
      <c r="C773" s="332"/>
      <c r="D773" s="148">
        <v>1.2</v>
      </c>
      <c r="E773" s="148"/>
      <c r="F773" s="148"/>
      <c r="G773" s="148">
        <v>1</v>
      </c>
      <c r="H773" s="148">
        <v>7</v>
      </c>
      <c r="I773" s="148"/>
      <c r="J773" s="170">
        <f t="shared" si="34"/>
        <v>8.4</v>
      </c>
      <c r="K773" s="10"/>
      <c r="L773" s="10"/>
      <c r="M773" s="10"/>
      <c r="N773" s="10"/>
      <c r="O773" s="10"/>
      <c r="P773" s="10"/>
      <c r="Q773" s="10"/>
      <c r="R773" s="10"/>
      <c r="S773" s="10"/>
      <c r="T773" s="10"/>
      <c r="U773" s="10"/>
      <c r="V773" s="10"/>
      <c r="W773" s="10"/>
      <c r="X773" s="10"/>
      <c r="Y773" s="10"/>
    </row>
    <row r="774" spans="1:25" ht="16.5" customHeight="1" x14ac:dyDescent="0.2">
      <c r="A774" s="318" t="s">
        <v>802</v>
      </c>
      <c r="B774" s="319"/>
      <c r="C774" s="332"/>
      <c r="D774" s="148">
        <v>1.2</v>
      </c>
      <c r="E774" s="148"/>
      <c r="F774" s="148"/>
      <c r="G774" s="148">
        <v>1</v>
      </c>
      <c r="H774" s="148">
        <v>7</v>
      </c>
      <c r="I774" s="148"/>
      <c r="J774" s="170">
        <f t="shared" si="34"/>
        <v>8.4</v>
      </c>
      <c r="K774" s="10"/>
      <c r="L774" s="10"/>
      <c r="M774" s="10"/>
      <c r="N774" s="10"/>
      <c r="O774" s="10"/>
      <c r="P774" s="10"/>
      <c r="Q774" s="10"/>
      <c r="R774" s="10"/>
      <c r="S774" s="10"/>
      <c r="T774" s="10"/>
      <c r="U774" s="10"/>
      <c r="V774" s="10"/>
      <c r="W774" s="10"/>
      <c r="X774" s="10"/>
      <c r="Y774" s="10"/>
    </row>
    <row r="775" spans="1:25" ht="16.5" customHeight="1" x14ac:dyDescent="0.2">
      <c r="A775" s="318" t="s">
        <v>803</v>
      </c>
      <c r="B775" s="319"/>
      <c r="C775" s="332"/>
      <c r="D775" s="148">
        <v>1.2</v>
      </c>
      <c r="E775" s="148"/>
      <c r="F775" s="148"/>
      <c r="G775" s="148">
        <v>1</v>
      </c>
      <c r="H775" s="148">
        <v>7</v>
      </c>
      <c r="I775" s="148"/>
      <c r="J775" s="170">
        <f t="shared" si="34"/>
        <v>8.4</v>
      </c>
      <c r="K775" s="10"/>
      <c r="L775" s="10"/>
      <c r="M775" s="10"/>
      <c r="N775" s="10"/>
      <c r="O775" s="10"/>
      <c r="P775" s="10"/>
      <c r="Q775" s="10"/>
      <c r="R775" s="10"/>
      <c r="S775" s="10"/>
      <c r="T775" s="10"/>
      <c r="U775" s="10"/>
      <c r="V775" s="10"/>
      <c r="W775" s="10"/>
      <c r="X775" s="10"/>
      <c r="Y775" s="10"/>
    </row>
    <row r="776" spans="1:25" ht="16.5" customHeight="1" x14ac:dyDescent="0.2">
      <c r="A776" s="318" t="s">
        <v>804</v>
      </c>
      <c r="B776" s="319"/>
      <c r="C776" s="332"/>
      <c r="D776" s="148">
        <v>1.2</v>
      </c>
      <c r="E776" s="148"/>
      <c r="F776" s="148"/>
      <c r="G776" s="148">
        <v>1</v>
      </c>
      <c r="H776" s="148">
        <v>7</v>
      </c>
      <c r="I776" s="148"/>
      <c r="J776" s="170">
        <f t="shared" si="34"/>
        <v>8.4</v>
      </c>
      <c r="K776" s="10"/>
      <c r="L776" s="10"/>
      <c r="M776" s="10"/>
      <c r="N776" s="10"/>
      <c r="O776" s="10"/>
      <c r="P776" s="10"/>
      <c r="Q776" s="10"/>
      <c r="R776" s="10"/>
      <c r="S776" s="10"/>
      <c r="T776" s="10"/>
      <c r="U776" s="10"/>
      <c r="V776" s="10"/>
      <c r="W776" s="10"/>
      <c r="X776" s="10"/>
      <c r="Y776" s="10"/>
    </row>
    <row r="777" spans="1:25" ht="16.5" customHeight="1" x14ac:dyDescent="0.2">
      <c r="A777" s="342" t="str">
        <f>"TOTAL - "&amp;'Planilha orçamentária'!F63</f>
        <v>TOTAL - M</v>
      </c>
      <c r="B777" s="342"/>
      <c r="C777" s="342"/>
      <c r="D777" s="342"/>
      <c r="E777" s="342"/>
      <c r="F777" s="342"/>
      <c r="G777" s="342"/>
      <c r="H777" s="342"/>
      <c r="I777" s="342"/>
      <c r="J777" s="149">
        <f>SUM(J761:J776)</f>
        <v>134.40000000000003</v>
      </c>
      <c r="K777" s="10"/>
      <c r="L777" s="10"/>
      <c r="M777" s="10"/>
      <c r="N777" s="10"/>
      <c r="O777" s="10"/>
      <c r="P777" s="10"/>
      <c r="Q777" s="10"/>
      <c r="R777" s="10"/>
      <c r="S777" s="10"/>
      <c r="T777" s="10"/>
      <c r="U777" s="10"/>
      <c r="V777" s="10"/>
      <c r="W777" s="10"/>
      <c r="X777" s="10"/>
      <c r="Y777" s="10"/>
    </row>
    <row r="778" spans="1:25" ht="25.5" customHeight="1" x14ac:dyDescent="0.2">
      <c r="A778" s="184" t="str">
        <f>'Planilha orçamentária'!A64</f>
        <v>9.3</v>
      </c>
      <c r="B778" s="343" t="str">
        <f>'Planilha orçamentária'!D64</f>
        <v>Testeira para bancada em granito, cor cinza andorinha, esp. 2cm, altura de 10cm, inclusive polimento, corte/ colagem em meia esquadria e massa plástica na cor da pedra</v>
      </c>
      <c r="C778" s="344"/>
      <c r="D778" s="344"/>
      <c r="E778" s="344"/>
      <c r="F778" s="344"/>
      <c r="G778" s="344"/>
      <c r="H778" s="344"/>
      <c r="I778" s="344"/>
      <c r="J778" s="344"/>
      <c r="K778" s="10"/>
      <c r="L778" s="10"/>
      <c r="M778" s="10"/>
      <c r="N778" s="10"/>
      <c r="O778" s="10"/>
      <c r="P778" s="10"/>
      <c r="Q778" s="10"/>
      <c r="R778" s="10"/>
      <c r="S778" s="10"/>
      <c r="T778" s="10"/>
      <c r="U778" s="10"/>
      <c r="V778" s="10"/>
      <c r="W778" s="10"/>
      <c r="X778" s="10"/>
      <c r="Y778" s="10"/>
    </row>
    <row r="779" spans="1:25" ht="25.5" customHeight="1" x14ac:dyDescent="0.2">
      <c r="A779" s="327" t="s">
        <v>120</v>
      </c>
      <c r="B779" s="328"/>
      <c r="C779" s="328"/>
      <c r="D779" s="182" t="s">
        <v>121</v>
      </c>
      <c r="E779" s="182" t="s">
        <v>122</v>
      </c>
      <c r="F779" s="181" t="s">
        <v>123</v>
      </c>
      <c r="G779" s="181" t="s">
        <v>468</v>
      </c>
      <c r="H779" s="181" t="s">
        <v>489</v>
      </c>
      <c r="I779" s="182" t="s">
        <v>125</v>
      </c>
      <c r="J779" s="182" t="s">
        <v>113</v>
      </c>
      <c r="K779" s="10"/>
      <c r="L779" s="10"/>
      <c r="M779" s="10"/>
      <c r="N779" s="10"/>
      <c r="O779" s="10"/>
      <c r="P779" s="10"/>
      <c r="Q779" s="10"/>
      <c r="R779" s="10"/>
      <c r="S779" s="10"/>
      <c r="T779" s="10"/>
      <c r="U779" s="10"/>
      <c r="V779" s="10"/>
      <c r="W779" s="10"/>
      <c r="X779" s="10"/>
      <c r="Y779" s="10"/>
    </row>
    <row r="780" spans="1:25" ht="16.5" customHeight="1" x14ac:dyDescent="0.2">
      <c r="A780" s="320" t="s">
        <v>671</v>
      </c>
      <c r="B780" s="320"/>
      <c r="C780" s="320"/>
      <c r="D780" s="148">
        <v>1.2</v>
      </c>
      <c r="E780" s="148"/>
      <c r="F780" s="148"/>
      <c r="G780" s="148">
        <v>1</v>
      </c>
      <c r="H780" s="148">
        <v>7</v>
      </c>
      <c r="I780" s="148"/>
      <c r="J780" s="170">
        <f t="shared" ref="J780:J811" si="35">PRODUCT(D780:H780)-I780</f>
        <v>8.4</v>
      </c>
      <c r="K780" s="10"/>
      <c r="L780" s="10"/>
      <c r="M780" s="10"/>
      <c r="N780" s="10"/>
      <c r="O780" s="10"/>
      <c r="P780" s="10"/>
      <c r="Q780" s="10"/>
      <c r="R780" s="10"/>
      <c r="S780" s="10"/>
      <c r="T780" s="10"/>
      <c r="U780" s="10"/>
      <c r="V780" s="10"/>
      <c r="W780" s="10"/>
      <c r="X780" s="10"/>
      <c r="Y780" s="10"/>
    </row>
    <row r="781" spans="1:25" ht="16.5" customHeight="1" x14ac:dyDescent="0.2">
      <c r="A781" s="320"/>
      <c r="B781" s="320"/>
      <c r="C781" s="320"/>
      <c r="D781" s="148">
        <v>0.5</v>
      </c>
      <c r="E781" s="148"/>
      <c r="F781" s="148"/>
      <c r="G781" s="148">
        <v>2</v>
      </c>
      <c r="H781" s="148">
        <v>7</v>
      </c>
      <c r="I781" s="148"/>
      <c r="J781" s="170">
        <f t="shared" si="35"/>
        <v>7</v>
      </c>
      <c r="K781" s="10"/>
      <c r="L781" s="10"/>
      <c r="M781" s="10"/>
      <c r="N781" s="10"/>
      <c r="O781" s="10"/>
      <c r="P781" s="10"/>
      <c r="Q781" s="10"/>
      <c r="R781" s="10"/>
      <c r="S781" s="10"/>
      <c r="T781" s="10"/>
      <c r="U781" s="10"/>
      <c r="V781" s="10"/>
      <c r="W781" s="10"/>
      <c r="X781" s="10"/>
      <c r="Y781" s="10"/>
    </row>
    <row r="782" spans="1:25" ht="16.5" customHeight="1" x14ac:dyDescent="0.2">
      <c r="A782" s="320" t="s">
        <v>672</v>
      </c>
      <c r="B782" s="320"/>
      <c r="C782" s="320"/>
      <c r="D782" s="148">
        <v>1.2</v>
      </c>
      <c r="E782" s="148"/>
      <c r="F782" s="148"/>
      <c r="G782" s="148">
        <v>1</v>
      </c>
      <c r="H782" s="148">
        <v>7</v>
      </c>
      <c r="I782" s="148"/>
      <c r="J782" s="170">
        <f t="shared" si="35"/>
        <v>8.4</v>
      </c>
      <c r="K782" s="10"/>
      <c r="L782" s="10"/>
      <c r="M782" s="10"/>
      <c r="N782" s="10"/>
      <c r="O782" s="10"/>
      <c r="P782" s="10"/>
      <c r="Q782" s="10"/>
      <c r="R782" s="10"/>
      <c r="S782" s="10"/>
      <c r="T782" s="10"/>
      <c r="U782" s="10"/>
      <c r="V782" s="10"/>
      <c r="W782" s="10"/>
      <c r="X782" s="10"/>
      <c r="Y782" s="10"/>
    </row>
    <row r="783" spans="1:25" ht="16.5" customHeight="1" x14ac:dyDescent="0.2">
      <c r="A783" s="320"/>
      <c r="B783" s="320"/>
      <c r="C783" s="320"/>
      <c r="D783" s="148">
        <v>0.5</v>
      </c>
      <c r="E783" s="148"/>
      <c r="F783" s="148"/>
      <c r="G783" s="148">
        <v>2</v>
      </c>
      <c r="H783" s="148">
        <v>7</v>
      </c>
      <c r="I783" s="148"/>
      <c r="J783" s="170">
        <f t="shared" si="35"/>
        <v>7</v>
      </c>
      <c r="K783" s="10"/>
      <c r="L783" s="10"/>
      <c r="M783" s="10"/>
      <c r="N783" s="10"/>
      <c r="O783" s="10"/>
      <c r="P783" s="10"/>
      <c r="Q783" s="10"/>
      <c r="R783" s="10"/>
      <c r="S783" s="10"/>
      <c r="T783" s="10"/>
      <c r="U783" s="10"/>
      <c r="V783" s="10"/>
      <c r="W783" s="10"/>
      <c r="X783" s="10"/>
      <c r="Y783" s="10"/>
    </row>
    <row r="784" spans="1:25" ht="16.5" customHeight="1" x14ac:dyDescent="0.2">
      <c r="A784" s="320" t="s">
        <v>673</v>
      </c>
      <c r="B784" s="320"/>
      <c r="C784" s="320"/>
      <c r="D784" s="148">
        <v>1.2</v>
      </c>
      <c r="E784" s="148"/>
      <c r="F784" s="148"/>
      <c r="G784" s="148">
        <v>1</v>
      </c>
      <c r="H784" s="148">
        <v>7</v>
      </c>
      <c r="I784" s="148"/>
      <c r="J784" s="170">
        <f t="shared" si="35"/>
        <v>8.4</v>
      </c>
      <c r="K784" s="10"/>
      <c r="L784" s="10"/>
      <c r="M784" s="10"/>
      <c r="N784" s="10"/>
      <c r="O784" s="10"/>
      <c r="P784" s="10"/>
      <c r="Q784" s="10"/>
      <c r="R784" s="10"/>
      <c r="S784" s="10"/>
      <c r="T784" s="10"/>
      <c r="U784" s="10"/>
      <c r="V784" s="10"/>
      <c r="W784" s="10"/>
      <c r="X784" s="10"/>
      <c r="Y784" s="10"/>
    </row>
    <row r="785" spans="1:25" ht="16.5" customHeight="1" x14ac:dyDescent="0.2">
      <c r="A785" s="320"/>
      <c r="B785" s="320"/>
      <c r="C785" s="320"/>
      <c r="D785" s="148">
        <v>0.5</v>
      </c>
      <c r="E785" s="148"/>
      <c r="F785" s="148"/>
      <c r="G785" s="148">
        <v>2</v>
      </c>
      <c r="H785" s="148">
        <v>7</v>
      </c>
      <c r="I785" s="148"/>
      <c r="J785" s="170">
        <f t="shared" si="35"/>
        <v>7</v>
      </c>
      <c r="K785" s="10"/>
      <c r="L785" s="10"/>
      <c r="M785" s="10"/>
      <c r="N785" s="10"/>
      <c r="O785" s="10"/>
      <c r="P785" s="10"/>
      <c r="Q785" s="10"/>
      <c r="R785" s="10"/>
      <c r="S785" s="10"/>
      <c r="T785" s="10"/>
      <c r="U785" s="10"/>
      <c r="V785" s="10"/>
      <c r="W785" s="10"/>
      <c r="X785" s="10"/>
      <c r="Y785" s="10"/>
    </row>
    <row r="786" spans="1:25" ht="16.5" customHeight="1" x14ac:dyDescent="0.2">
      <c r="A786" s="320" t="s">
        <v>674</v>
      </c>
      <c r="B786" s="320"/>
      <c r="C786" s="320"/>
      <c r="D786" s="148">
        <v>1.2</v>
      </c>
      <c r="E786" s="148"/>
      <c r="F786" s="148"/>
      <c r="G786" s="148">
        <v>1</v>
      </c>
      <c r="H786" s="148">
        <v>7</v>
      </c>
      <c r="I786" s="148"/>
      <c r="J786" s="170">
        <f t="shared" si="35"/>
        <v>8.4</v>
      </c>
      <c r="K786" s="10"/>
      <c r="L786" s="10"/>
      <c r="M786" s="10"/>
      <c r="N786" s="10"/>
      <c r="O786" s="10"/>
      <c r="P786" s="10"/>
      <c r="Q786" s="10"/>
      <c r="R786" s="10"/>
      <c r="S786" s="10"/>
      <c r="T786" s="10"/>
      <c r="U786" s="10"/>
      <c r="V786" s="10"/>
      <c r="W786" s="10"/>
      <c r="X786" s="10"/>
      <c r="Y786" s="10"/>
    </row>
    <row r="787" spans="1:25" ht="16.5" customHeight="1" x14ac:dyDescent="0.2">
      <c r="A787" s="320"/>
      <c r="B787" s="320"/>
      <c r="C787" s="320"/>
      <c r="D787" s="148">
        <v>0.5</v>
      </c>
      <c r="E787" s="148"/>
      <c r="F787" s="148"/>
      <c r="G787" s="148">
        <v>2</v>
      </c>
      <c r="H787" s="148">
        <v>7</v>
      </c>
      <c r="I787" s="148"/>
      <c r="J787" s="170">
        <f t="shared" si="35"/>
        <v>7</v>
      </c>
      <c r="K787" s="10"/>
      <c r="L787" s="10"/>
      <c r="M787" s="10"/>
      <c r="N787" s="10"/>
      <c r="O787" s="10"/>
      <c r="P787" s="10"/>
      <c r="Q787" s="10"/>
      <c r="R787" s="10"/>
      <c r="S787" s="10"/>
      <c r="T787" s="10"/>
      <c r="U787" s="10"/>
      <c r="V787" s="10"/>
      <c r="W787" s="10"/>
      <c r="X787" s="10"/>
      <c r="Y787" s="10"/>
    </row>
    <row r="788" spans="1:25" ht="16.5" customHeight="1" x14ac:dyDescent="0.2">
      <c r="A788" s="320" t="s">
        <v>675</v>
      </c>
      <c r="B788" s="320"/>
      <c r="C788" s="320"/>
      <c r="D788" s="148">
        <v>1.2</v>
      </c>
      <c r="E788" s="148"/>
      <c r="F788" s="148"/>
      <c r="G788" s="148">
        <v>1</v>
      </c>
      <c r="H788" s="148">
        <v>7</v>
      </c>
      <c r="I788" s="148"/>
      <c r="J788" s="170">
        <f t="shared" si="35"/>
        <v>8.4</v>
      </c>
      <c r="K788" s="10"/>
      <c r="L788" s="10"/>
      <c r="M788" s="10"/>
      <c r="N788" s="10"/>
      <c r="O788" s="10"/>
      <c r="P788" s="10"/>
      <c r="Q788" s="10"/>
      <c r="R788" s="10"/>
      <c r="S788" s="10"/>
      <c r="T788" s="10"/>
      <c r="U788" s="10"/>
      <c r="V788" s="10"/>
      <c r="W788" s="10"/>
      <c r="X788" s="10"/>
      <c r="Y788" s="10"/>
    </row>
    <row r="789" spans="1:25" ht="16.5" customHeight="1" x14ac:dyDescent="0.2">
      <c r="A789" s="320"/>
      <c r="B789" s="320"/>
      <c r="C789" s="320"/>
      <c r="D789" s="148">
        <v>0.5</v>
      </c>
      <c r="E789" s="148"/>
      <c r="F789" s="148"/>
      <c r="G789" s="148">
        <v>2</v>
      </c>
      <c r="H789" s="148">
        <v>7</v>
      </c>
      <c r="I789" s="148"/>
      <c r="J789" s="170">
        <f t="shared" si="35"/>
        <v>7</v>
      </c>
      <c r="K789" s="10"/>
      <c r="L789" s="10"/>
      <c r="M789" s="10"/>
      <c r="N789" s="10"/>
      <c r="O789" s="10"/>
      <c r="P789" s="10"/>
      <c r="Q789" s="10"/>
      <c r="R789" s="10"/>
      <c r="S789" s="10"/>
      <c r="T789" s="10"/>
      <c r="U789" s="10"/>
      <c r="V789" s="10"/>
      <c r="W789" s="10"/>
      <c r="X789" s="10"/>
      <c r="Y789" s="10"/>
    </row>
    <row r="790" spans="1:25" ht="16.5" customHeight="1" x14ac:dyDescent="0.2">
      <c r="A790" s="320" t="s">
        <v>676</v>
      </c>
      <c r="B790" s="320"/>
      <c r="C790" s="320"/>
      <c r="D790" s="148">
        <v>1.2</v>
      </c>
      <c r="E790" s="148"/>
      <c r="F790" s="148"/>
      <c r="G790" s="148">
        <v>1</v>
      </c>
      <c r="H790" s="148">
        <v>7</v>
      </c>
      <c r="I790" s="148"/>
      <c r="J790" s="170">
        <f t="shared" si="35"/>
        <v>8.4</v>
      </c>
      <c r="K790" s="10"/>
      <c r="L790" s="10"/>
      <c r="M790" s="10"/>
      <c r="N790" s="10"/>
      <c r="O790" s="10"/>
      <c r="P790" s="10"/>
      <c r="Q790" s="10"/>
      <c r="R790" s="10"/>
      <c r="S790" s="10"/>
      <c r="T790" s="10"/>
      <c r="U790" s="10"/>
      <c r="V790" s="10"/>
      <c r="W790" s="10"/>
      <c r="X790" s="10"/>
      <c r="Y790" s="10"/>
    </row>
    <row r="791" spans="1:25" ht="16.5" customHeight="1" x14ac:dyDescent="0.2">
      <c r="A791" s="320"/>
      <c r="B791" s="320"/>
      <c r="C791" s="320"/>
      <c r="D791" s="148">
        <v>0.5</v>
      </c>
      <c r="E791" s="148"/>
      <c r="F791" s="148"/>
      <c r="G791" s="148">
        <v>2</v>
      </c>
      <c r="H791" s="148">
        <v>7</v>
      </c>
      <c r="I791" s="148"/>
      <c r="J791" s="170">
        <f t="shared" si="35"/>
        <v>7</v>
      </c>
      <c r="K791" s="10"/>
      <c r="L791" s="10"/>
      <c r="M791" s="10"/>
      <c r="N791" s="10"/>
      <c r="O791" s="10"/>
      <c r="P791" s="10"/>
      <c r="Q791" s="10"/>
      <c r="R791" s="10"/>
      <c r="S791" s="10"/>
      <c r="T791" s="10"/>
      <c r="U791" s="10"/>
      <c r="V791" s="10"/>
      <c r="W791" s="10"/>
      <c r="X791" s="10"/>
      <c r="Y791" s="10"/>
    </row>
    <row r="792" spans="1:25" ht="16.5" customHeight="1" x14ac:dyDescent="0.2">
      <c r="A792" s="320" t="s">
        <v>677</v>
      </c>
      <c r="B792" s="320"/>
      <c r="C792" s="320"/>
      <c r="D792" s="148">
        <v>1.2</v>
      </c>
      <c r="E792" s="148"/>
      <c r="F792" s="148"/>
      <c r="G792" s="148">
        <v>1</v>
      </c>
      <c r="H792" s="148">
        <v>7</v>
      </c>
      <c r="I792" s="148"/>
      <c r="J792" s="170">
        <f t="shared" si="35"/>
        <v>8.4</v>
      </c>
      <c r="K792" s="10"/>
      <c r="L792" s="10"/>
      <c r="M792" s="10"/>
      <c r="N792" s="10"/>
      <c r="O792" s="10"/>
      <c r="P792" s="10"/>
      <c r="Q792" s="10"/>
      <c r="R792" s="10"/>
      <c r="S792" s="10"/>
      <c r="T792" s="10"/>
      <c r="U792" s="10"/>
      <c r="V792" s="10"/>
      <c r="W792" s="10"/>
      <c r="X792" s="10"/>
      <c r="Y792" s="10"/>
    </row>
    <row r="793" spans="1:25" ht="16.5" customHeight="1" x14ac:dyDescent="0.2">
      <c r="A793" s="320"/>
      <c r="B793" s="320"/>
      <c r="C793" s="320"/>
      <c r="D793" s="148">
        <v>0.5</v>
      </c>
      <c r="E793" s="148"/>
      <c r="F793" s="148"/>
      <c r="G793" s="148">
        <v>2</v>
      </c>
      <c r="H793" s="148">
        <v>7</v>
      </c>
      <c r="I793" s="148"/>
      <c r="J793" s="170">
        <f t="shared" si="35"/>
        <v>7</v>
      </c>
      <c r="K793" s="10"/>
      <c r="L793" s="10"/>
      <c r="M793" s="10"/>
      <c r="N793" s="10"/>
      <c r="O793" s="10"/>
      <c r="P793" s="10"/>
      <c r="Q793" s="10"/>
      <c r="R793" s="10"/>
      <c r="S793" s="10"/>
      <c r="T793" s="10"/>
      <c r="U793" s="10"/>
      <c r="V793" s="10"/>
      <c r="W793" s="10"/>
      <c r="X793" s="10"/>
      <c r="Y793" s="10"/>
    </row>
    <row r="794" spans="1:25" ht="16.5" customHeight="1" x14ac:dyDescent="0.2">
      <c r="A794" s="320" t="s">
        <v>678</v>
      </c>
      <c r="B794" s="320"/>
      <c r="C794" s="320"/>
      <c r="D794" s="148">
        <v>1.2</v>
      </c>
      <c r="E794" s="148"/>
      <c r="F794" s="148"/>
      <c r="G794" s="148">
        <v>1</v>
      </c>
      <c r="H794" s="148">
        <v>7</v>
      </c>
      <c r="I794" s="148"/>
      <c r="J794" s="170">
        <f t="shared" si="35"/>
        <v>8.4</v>
      </c>
      <c r="K794" s="10"/>
      <c r="L794" s="10"/>
      <c r="M794" s="10"/>
      <c r="N794" s="10"/>
      <c r="O794" s="10"/>
      <c r="P794" s="10"/>
      <c r="Q794" s="10"/>
      <c r="R794" s="10"/>
      <c r="S794" s="10"/>
      <c r="T794" s="10"/>
      <c r="U794" s="10"/>
      <c r="V794" s="10"/>
      <c r="W794" s="10"/>
      <c r="X794" s="10"/>
      <c r="Y794" s="10"/>
    </row>
    <row r="795" spans="1:25" ht="16.5" customHeight="1" x14ac:dyDescent="0.2">
      <c r="A795" s="320"/>
      <c r="B795" s="320"/>
      <c r="C795" s="320"/>
      <c r="D795" s="148">
        <v>0.5</v>
      </c>
      <c r="E795" s="148"/>
      <c r="F795" s="148"/>
      <c r="G795" s="148">
        <v>2</v>
      </c>
      <c r="H795" s="148">
        <v>7</v>
      </c>
      <c r="I795" s="148"/>
      <c r="J795" s="170">
        <f t="shared" si="35"/>
        <v>7</v>
      </c>
      <c r="K795" s="10"/>
      <c r="L795" s="10"/>
      <c r="M795" s="10"/>
      <c r="N795" s="10"/>
      <c r="O795" s="10"/>
      <c r="P795" s="10"/>
      <c r="Q795" s="10"/>
      <c r="R795" s="10"/>
      <c r="S795" s="10"/>
      <c r="T795" s="10"/>
      <c r="U795" s="10"/>
      <c r="V795" s="10"/>
      <c r="W795" s="10"/>
      <c r="X795" s="10"/>
      <c r="Y795" s="10"/>
    </row>
    <row r="796" spans="1:25" ht="16.5" customHeight="1" x14ac:dyDescent="0.2">
      <c r="A796" s="320" t="s">
        <v>679</v>
      </c>
      <c r="B796" s="320"/>
      <c r="C796" s="320"/>
      <c r="D796" s="148">
        <v>1.2</v>
      </c>
      <c r="E796" s="148"/>
      <c r="F796" s="148"/>
      <c r="G796" s="148">
        <v>1</v>
      </c>
      <c r="H796" s="148">
        <v>7</v>
      </c>
      <c r="I796" s="148"/>
      <c r="J796" s="170">
        <f t="shared" si="35"/>
        <v>8.4</v>
      </c>
      <c r="K796" s="10"/>
      <c r="L796" s="10"/>
      <c r="M796" s="10"/>
      <c r="N796" s="10"/>
      <c r="O796" s="10"/>
      <c r="P796" s="10"/>
      <c r="Q796" s="10"/>
      <c r="R796" s="10"/>
      <c r="S796" s="10"/>
      <c r="T796" s="10"/>
      <c r="U796" s="10"/>
      <c r="V796" s="10"/>
      <c r="W796" s="10"/>
      <c r="X796" s="10"/>
      <c r="Y796" s="10"/>
    </row>
    <row r="797" spans="1:25" ht="16.5" customHeight="1" x14ac:dyDescent="0.2">
      <c r="A797" s="320"/>
      <c r="B797" s="320"/>
      <c r="C797" s="320"/>
      <c r="D797" s="148">
        <v>0.5</v>
      </c>
      <c r="E797" s="148"/>
      <c r="F797" s="148"/>
      <c r="G797" s="148">
        <v>2</v>
      </c>
      <c r="H797" s="148">
        <v>7</v>
      </c>
      <c r="I797" s="148"/>
      <c r="J797" s="170">
        <f t="shared" si="35"/>
        <v>7</v>
      </c>
      <c r="K797" s="10"/>
      <c r="L797" s="10"/>
      <c r="M797" s="10"/>
      <c r="N797" s="10"/>
      <c r="O797" s="10"/>
      <c r="P797" s="10"/>
      <c r="Q797" s="10"/>
      <c r="R797" s="10"/>
      <c r="S797" s="10"/>
      <c r="T797" s="10"/>
      <c r="U797" s="10"/>
      <c r="V797" s="10"/>
      <c r="W797" s="10"/>
      <c r="X797" s="10"/>
      <c r="Y797" s="10"/>
    </row>
    <row r="798" spans="1:25" ht="16.5" customHeight="1" x14ac:dyDescent="0.2">
      <c r="A798" s="320" t="s">
        <v>769</v>
      </c>
      <c r="B798" s="320"/>
      <c r="C798" s="320"/>
      <c r="D798" s="148">
        <v>1.2</v>
      </c>
      <c r="E798" s="148"/>
      <c r="F798" s="148"/>
      <c r="G798" s="148">
        <v>1</v>
      </c>
      <c r="H798" s="148">
        <v>7</v>
      </c>
      <c r="I798" s="148"/>
      <c r="J798" s="170">
        <f t="shared" si="35"/>
        <v>8.4</v>
      </c>
      <c r="K798" s="10"/>
      <c r="L798" s="10"/>
      <c r="M798" s="10"/>
      <c r="N798" s="10"/>
      <c r="O798" s="10"/>
      <c r="P798" s="10"/>
      <c r="Q798" s="10"/>
      <c r="R798" s="10"/>
      <c r="S798" s="10"/>
      <c r="T798" s="10"/>
      <c r="U798" s="10"/>
      <c r="V798" s="10"/>
      <c r="W798" s="10"/>
      <c r="X798" s="10"/>
      <c r="Y798" s="10"/>
    </row>
    <row r="799" spans="1:25" ht="16.5" customHeight="1" x14ac:dyDescent="0.2">
      <c r="A799" s="320"/>
      <c r="B799" s="320"/>
      <c r="C799" s="320"/>
      <c r="D799" s="148">
        <v>0.5</v>
      </c>
      <c r="E799" s="148"/>
      <c r="F799" s="148"/>
      <c r="G799" s="148">
        <v>2</v>
      </c>
      <c r="H799" s="148">
        <v>7</v>
      </c>
      <c r="I799" s="148"/>
      <c r="J799" s="170">
        <f t="shared" si="35"/>
        <v>7</v>
      </c>
      <c r="K799" s="10"/>
      <c r="L799" s="10"/>
      <c r="M799" s="10"/>
      <c r="N799" s="10"/>
      <c r="O799" s="10"/>
      <c r="P799" s="10"/>
      <c r="Q799" s="10"/>
      <c r="R799" s="10"/>
      <c r="S799" s="10"/>
      <c r="T799" s="10"/>
      <c r="U799" s="10"/>
      <c r="V799" s="10"/>
      <c r="W799" s="10"/>
      <c r="X799" s="10"/>
      <c r="Y799" s="10"/>
    </row>
    <row r="800" spans="1:25" ht="16.5" customHeight="1" x14ac:dyDescent="0.2">
      <c r="A800" s="320" t="s">
        <v>681</v>
      </c>
      <c r="B800" s="320"/>
      <c r="C800" s="320"/>
      <c r="D800" s="148">
        <v>1.2</v>
      </c>
      <c r="E800" s="148"/>
      <c r="F800" s="148"/>
      <c r="G800" s="148">
        <v>1</v>
      </c>
      <c r="H800" s="148">
        <v>7</v>
      </c>
      <c r="I800" s="148"/>
      <c r="J800" s="170">
        <f t="shared" si="35"/>
        <v>8.4</v>
      </c>
      <c r="K800" s="10"/>
      <c r="L800" s="10"/>
      <c r="M800" s="10"/>
      <c r="N800" s="10"/>
      <c r="O800" s="10"/>
      <c r="P800" s="10"/>
      <c r="Q800" s="10"/>
      <c r="R800" s="10"/>
      <c r="S800" s="10"/>
      <c r="T800" s="10"/>
      <c r="U800" s="10"/>
      <c r="V800" s="10"/>
      <c r="W800" s="10"/>
      <c r="X800" s="10"/>
      <c r="Y800" s="10"/>
    </row>
    <row r="801" spans="1:25" ht="16.5" customHeight="1" x14ac:dyDescent="0.2">
      <c r="A801" s="320"/>
      <c r="B801" s="320"/>
      <c r="C801" s="320"/>
      <c r="D801" s="148">
        <v>0.5</v>
      </c>
      <c r="E801" s="148"/>
      <c r="F801" s="148"/>
      <c r="G801" s="148">
        <v>2</v>
      </c>
      <c r="H801" s="148">
        <v>7</v>
      </c>
      <c r="I801" s="148"/>
      <c r="J801" s="170">
        <f t="shared" si="35"/>
        <v>7</v>
      </c>
      <c r="K801" s="10"/>
      <c r="L801" s="10"/>
      <c r="M801" s="10"/>
      <c r="N801" s="10"/>
      <c r="O801" s="10"/>
      <c r="P801" s="10"/>
      <c r="Q801" s="10"/>
      <c r="R801" s="10"/>
      <c r="S801" s="10"/>
      <c r="T801" s="10"/>
      <c r="U801" s="10"/>
      <c r="V801" s="10"/>
      <c r="W801" s="10"/>
      <c r="X801" s="10"/>
      <c r="Y801" s="10"/>
    </row>
    <row r="802" spans="1:25" ht="16.5" customHeight="1" x14ac:dyDescent="0.2">
      <c r="A802" s="320" t="s">
        <v>682</v>
      </c>
      <c r="B802" s="320"/>
      <c r="C802" s="320"/>
      <c r="D802" s="148">
        <v>1.2</v>
      </c>
      <c r="E802" s="148"/>
      <c r="F802" s="148"/>
      <c r="G802" s="148">
        <v>1</v>
      </c>
      <c r="H802" s="148">
        <v>7</v>
      </c>
      <c r="I802" s="148"/>
      <c r="J802" s="170">
        <f t="shared" si="35"/>
        <v>8.4</v>
      </c>
      <c r="K802" s="10"/>
      <c r="L802" s="10"/>
      <c r="M802" s="10"/>
      <c r="N802" s="10"/>
      <c r="O802" s="10"/>
      <c r="P802" s="10"/>
      <c r="Q802" s="10"/>
      <c r="R802" s="10"/>
      <c r="S802" s="10"/>
      <c r="T802" s="10"/>
      <c r="U802" s="10"/>
      <c r="V802" s="10"/>
      <c r="W802" s="10"/>
      <c r="X802" s="10"/>
      <c r="Y802" s="10"/>
    </row>
    <row r="803" spans="1:25" ht="16.5" customHeight="1" x14ac:dyDescent="0.2">
      <c r="A803" s="320"/>
      <c r="B803" s="320"/>
      <c r="C803" s="320"/>
      <c r="D803" s="148">
        <v>0.5</v>
      </c>
      <c r="E803" s="148"/>
      <c r="F803" s="148"/>
      <c r="G803" s="148">
        <v>2</v>
      </c>
      <c r="H803" s="148">
        <v>7</v>
      </c>
      <c r="I803" s="148"/>
      <c r="J803" s="170">
        <f t="shared" si="35"/>
        <v>7</v>
      </c>
      <c r="K803" s="10"/>
      <c r="L803" s="10"/>
      <c r="M803" s="10"/>
      <c r="N803" s="10"/>
      <c r="O803" s="10"/>
      <c r="P803" s="10"/>
      <c r="Q803" s="10"/>
      <c r="R803" s="10"/>
      <c r="S803" s="10"/>
      <c r="T803" s="10"/>
      <c r="U803" s="10"/>
      <c r="V803" s="10"/>
      <c r="W803" s="10"/>
      <c r="X803" s="10"/>
      <c r="Y803" s="10"/>
    </row>
    <row r="804" spans="1:25" ht="16.5" customHeight="1" x14ac:dyDescent="0.2">
      <c r="A804" s="320" t="s">
        <v>683</v>
      </c>
      <c r="B804" s="320"/>
      <c r="C804" s="320"/>
      <c r="D804" s="148">
        <v>1.2</v>
      </c>
      <c r="E804" s="148"/>
      <c r="F804" s="148"/>
      <c r="G804" s="148">
        <v>1</v>
      </c>
      <c r="H804" s="148">
        <v>7</v>
      </c>
      <c r="I804" s="148"/>
      <c r="J804" s="170">
        <f t="shared" si="35"/>
        <v>8.4</v>
      </c>
      <c r="K804" s="10"/>
      <c r="L804" s="10"/>
      <c r="M804" s="10"/>
      <c r="N804" s="10"/>
      <c r="O804" s="10"/>
      <c r="P804" s="10"/>
      <c r="Q804" s="10"/>
      <c r="R804" s="10"/>
      <c r="S804" s="10"/>
      <c r="T804" s="10"/>
      <c r="U804" s="10"/>
      <c r="V804" s="10"/>
      <c r="W804" s="10"/>
      <c r="X804" s="10"/>
      <c r="Y804" s="10"/>
    </row>
    <row r="805" spans="1:25" ht="16.5" customHeight="1" x14ac:dyDescent="0.2">
      <c r="A805" s="320"/>
      <c r="B805" s="320"/>
      <c r="C805" s="320"/>
      <c r="D805" s="148">
        <v>0.5</v>
      </c>
      <c r="E805" s="148"/>
      <c r="F805" s="148"/>
      <c r="G805" s="148">
        <v>2</v>
      </c>
      <c r="H805" s="148">
        <v>7</v>
      </c>
      <c r="I805" s="148"/>
      <c r="J805" s="170">
        <f t="shared" si="35"/>
        <v>7</v>
      </c>
      <c r="K805" s="10"/>
      <c r="L805" s="10"/>
      <c r="M805" s="10"/>
      <c r="N805" s="10"/>
      <c r="O805" s="10"/>
      <c r="P805" s="10"/>
      <c r="Q805" s="10"/>
      <c r="R805" s="10"/>
      <c r="S805" s="10"/>
      <c r="T805" s="10"/>
      <c r="U805" s="10"/>
      <c r="V805" s="10"/>
      <c r="W805" s="10"/>
      <c r="X805" s="10"/>
      <c r="Y805" s="10"/>
    </row>
    <row r="806" spans="1:25" ht="16.5" customHeight="1" x14ac:dyDescent="0.2">
      <c r="A806" s="320" t="s">
        <v>684</v>
      </c>
      <c r="B806" s="320"/>
      <c r="C806" s="320"/>
      <c r="D806" s="148">
        <v>1.2</v>
      </c>
      <c r="E806" s="148"/>
      <c r="F806" s="148"/>
      <c r="G806" s="148">
        <v>1</v>
      </c>
      <c r="H806" s="148">
        <v>7</v>
      </c>
      <c r="I806" s="148"/>
      <c r="J806" s="170">
        <f t="shared" si="35"/>
        <v>8.4</v>
      </c>
      <c r="K806" s="10"/>
      <c r="L806" s="10"/>
      <c r="M806" s="10"/>
      <c r="N806" s="10"/>
      <c r="O806" s="10"/>
      <c r="P806" s="10"/>
      <c r="Q806" s="10"/>
      <c r="R806" s="10"/>
      <c r="S806" s="10"/>
      <c r="T806" s="10"/>
      <c r="U806" s="10"/>
      <c r="V806" s="10"/>
      <c r="W806" s="10"/>
      <c r="X806" s="10"/>
      <c r="Y806" s="10"/>
    </row>
    <row r="807" spans="1:25" ht="16.5" customHeight="1" x14ac:dyDescent="0.2">
      <c r="A807" s="320"/>
      <c r="B807" s="320"/>
      <c r="C807" s="320"/>
      <c r="D807" s="148">
        <v>0.5</v>
      </c>
      <c r="E807" s="148"/>
      <c r="F807" s="148"/>
      <c r="G807" s="148">
        <v>2</v>
      </c>
      <c r="H807" s="148">
        <v>7</v>
      </c>
      <c r="I807" s="148"/>
      <c r="J807" s="170">
        <f t="shared" si="35"/>
        <v>7</v>
      </c>
      <c r="K807" s="10"/>
      <c r="L807" s="10"/>
      <c r="M807" s="10"/>
      <c r="N807" s="10"/>
      <c r="O807" s="10"/>
      <c r="P807" s="10"/>
      <c r="Q807" s="10"/>
      <c r="R807" s="10"/>
      <c r="S807" s="10"/>
      <c r="T807" s="10"/>
      <c r="U807" s="10"/>
      <c r="V807" s="10"/>
      <c r="W807" s="10"/>
      <c r="X807" s="10"/>
      <c r="Y807" s="10"/>
    </row>
    <row r="808" spans="1:25" ht="16.5" customHeight="1" x14ac:dyDescent="0.2">
      <c r="A808" s="320" t="s">
        <v>685</v>
      </c>
      <c r="B808" s="320"/>
      <c r="C808" s="320"/>
      <c r="D808" s="148">
        <v>1.2</v>
      </c>
      <c r="E808" s="148"/>
      <c r="F808" s="148"/>
      <c r="G808" s="148">
        <v>1</v>
      </c>
      <c r="H808" s="148">
        <v>7</v>
      </c>
      <c r="I808" s="148"/>
      <c r="J808" s="170">
        <f t="shared" si="35"/>
        <v>8.4</v>
      </c>
      <c r="K808" s="10"/>
      <c r="L808" s="10"/>
      <c r="M808" s="10"/>
      <c r="N808" s="10"/>
      <c r="O808" s="10"/>
      <c r="P808" s="10"/>
      <c r="Q808" s="10"/>
      <c r="R808" s="10"/>
      <c r="S808" s="10"/>
      <c r="T808" s="10"/>
      <c r="U808" s="10"/>
      <c r="V808" s="10"/>
      <c r="W808" s="10"/>
      <c r="X808" s="10"/>
      <c r="Y808" s="10"/>
    </row>
    <row r="809" spans="1:25" ht="16.5" customHeight="1" x14ac:dyDescent="0.2">
      <c r="A809" s="320"/>
      <c r="B809" s="320"/>
      <c r="C809" s="320"/>
      <c r="D809" s="148">
        <v>0.5</v>
      </c>
      <c r="E809" s="148"/>
      <c r="F809" s="148"/>
      <c r="G809" s="148">
        <v>2</v>
      </c>
      <c r="H809" s="148">
        <v>7</v>
      </c>
      <c r="I809" s="148"/>
      <c r="J809" s="170">
        <f t="shared" si="35"/>
        <v>7</v>
      </c>
      <c r="K809" s="10"/>
      <c r="L809" s="10"/>
      <c r="M809" s="10"/>
      <c r="N809" s="10"/>
      <c r="O809" s="10"/>
      <c r="P809" s="10"/>
      <c r="Q809" s="10"/>
      <c r="R809" s="10"/>
      <c r="S809" s="10"/>
      <c r="T809" s="10"/>
      <c r="U809" s="10"/>
      <c r="V809" s="10"/>
      <c r="W809" s="10"/>
      <c r="X809" s="10"/>
      <c r="Y809" s="10"/>
    </row>
    <row r="810" spans="1:25" ht="16.5" customHeight="1" x14ac:dyDescent="0.2">
      <c r="A810" s="320" t="s">
        <v>687</v>
      </c>
      <c r="B810" s="320"/>
      <c r="C810" s="320"/>
      <c r="D810" s="148">
        <v>1.2</v>
      </c>
      <c r="E810" s="148"/>
      <c r="F810" s="148"/>
      <c r="G810" s="148">
        <v>1</v>
      </c>
      <c r="H810" s="148">
        <v>7</v>
      </c>
      <c r="I810" s="148"/>
      <c r="J810" s="170">
        <f t="shared" si="35"/>
        <v>8.4</v>
      </c>
      <c r="K810" s="10"/>
      <c r="L810" s="10"/>
      <c r="M810" s="10"/>
      <c r="N810" s="10"/>
      <c r="O810" s="10"/>
      <c r="P810" s="10"/>
      <c r="Q810" s="10"/>
      <c r="R810" s="10"/>
      <c r="S810" s="10"/>
      <c r="T810" s="10"/>
      <c r="U810" s="10"/>
      <c r="V810" s="10"/>
      <c r="W810" s="10"/>
      <c r="X810" s="10"/>
      <c r="Y810" s="10"/>
    </row>
    <row r="811" spans="1:25" ht="16.5" customHeight="1" x14ac:dyDescent="0.2">
      <c r="A811" s="320"/>
      <c r="B811" s="320"/>
      <c r="C811" s="320"/>
      <c r="D811" s="148">
        <v>0.5</v>
      </c>
      <c r="E811" s="148"/>
      <c r="F811" s="148"/>
      <c r="G811" s="148">
        <v>2</v>
      </c>
      <c r="H811" s="148">
        <v>7</v>
      </c>
      <c r="I811" s="148"/>
      <c r="J811" s="170">
        <f t="shared" si="35"/>
        <v>7</v>
      </c>
      <c r="K811" s="10"/>
      <c r="L811" s="10"/>
      <c r="M811" s="10"/>
      <c r="N811" s="10"/>
      <c r="O811" s="10"/>
      <c r="P811" s="10"/>
      <c r="Q811" s="10"/>
      <c r="R811" s="10"/>
      <c r="S811" s="10"/>
      <c r="T811" s="10"/>
      <c r="U811" s="10"/>
      <c r="V811" s="10"/>
      <c r="W811" s="10"/>
      <c r="X811" s="10"/>
      <c r="Y811" s="10"/>
    </row>
    <row r="812" spans="1:25" ht="16.5" customHeight="1" x14ac:dyDescent="0.2">
      <c r="A812" s="342" t="str">
        <f>"TOTAL - "&amp;'Planilha orçamentária'!F64</f>
        <v>TOTAL - M</v>
      </c>
      <c r="B812" s="342"/>
      <c r="C812" s="342"/>
      <c r="D812" s="342"/>
      <c r="E812" s="342"/>
      <c r="F812" s="342"/>
      <c r="G812" s="342"/>
      <c r="H812" s="342"/>
      <c r="I812" s="342"/>
      <c r="J812" s="149">
        <f>SUM(J780:J811)</f>
        <v>246.40000000000006</v>
      </c>
      <c r="K812" s="10"/>
      <c r="L812" s="10"/>
      <c r="M812" s="10"/>
      <c r="N812" s="10"/>
      <c r="O812" s="10"/>
      <c r="P812" s="10"/>
      <c r="Q812" s="10"/>
      <c r="R812" s="10"/>
      <c r="S812" s="10"/>
      <c r="T812" s="10"/>
      <c r="U812" s="10"/>
      <c r="V812" s="10"/>
      <c r="W812" s="10"/>
      <c r="X812" s="10"/>
      <c r="Y812" s="10"/>
    </row>
    <row r="813" spans="1:25" ht="16.5" customHeight="1" x14ac:dyDescent="0.2">
      <c r="A813" s="35">
        <f>'Planilha orçamentária'!A66</f>
        <v>10</v>
      </c>
      <c r="B813" s="397" t="str">
        <f>'Planilha orçamentária'!D66</f>
        <v>LOUÇAS E METAIS</v>
      </c>
      <c r="C813" s="393"/>
      <c r="D813" s="393"/>
      <c r="E813" s="393"/>
      <c r="F813" s="393"/>
      <c r="G813" s="393"/>
      <c r="H813" s="393"/>
      <c r="I813" s="393"/>
      <c r="J813" s="393"/>
      <c r="K813" s="10"/>
      <c r="L813" s="10"/>
      <c r="M813" s="10"/>
      <c r="N813" s="10"/>
      <c r="O813" s="10"/>
      <c r="P813" s="10"/>
      <c r="Q813" s="10"/>
      <c r="R813" s="10"/>
      <c r="S813" s="10"/>
      <c r="T813" s="10"/>
      <c r="U813" s="10"/>
      <c r="V813" s="10"/>
      <c r="W813" s="10"/>
      <c r="X813" s="10"/>
      <c r="Y813" s="10"/>
    </row>
    <row r="814" spans="1:25" ht="25.5" customHeight="1" x14ac:dyDescent="0.2">
      <c r="A814" s="184" t="str">
        <f>'Planilha orçamentária'!A67</f>
        <v>10.1</v>
      </c>
      <c r="B814" s="343" t="str">
        <f>'Planilha orçamentária'!D67</f>
        <v>Bacia sanitária (vaso) de louça com caixa acoplada, cor branca, inclusive acessórios de fixação/vedação, engate flexível metálico, fornecimento, instalação e rejuntamento</v>
      </c>
      <c r="C814" s="344"/>
      <c r="D814" s="344"/>
      <c r="E814" s="344"/>
      <c r="F814" s="344"/>
      <c r="G814" s="344"/>
      <c r="H814" s="344"/>
      <c r="I814" s="344"/>
      <c r="J814" s="344"/>
      <c r="K814" s="10"/>
      <c r="L814" s="10"/>
      <c r="M814" s="10"/>
      <c r="N814" s="10"/>
      <c r="O814" s="10"/>
      <c r="P814" s="10"/>
      <c r="Q814" s="10"/>
      <c r="R814" s="10"/>
      <c r="S814" s="10"/>
      <c r="T814" s="10"/>
      <c r="U814" s="10"/>
      <c r="V814" s="10"/>
      <c r="W814" s="10"/>
      <c r="X814" s="10"/>
      <c r="Y814" s="10"/>
    </row>
    <row r="815" spans="1:25" ht="25.5" customHeight="1" x14ac:dyDescent="0.2">
      <c r="A815" s="327" t="s">
        <v>120</v>
      </c>
      <c r="B815" s="328"/>
      <c r="C815" s="328"/>
      <c r="D815" s="182" t="s">
        <v>121</v>
      </c>
      <c r="E815" s="182" t="s">
        <v>122</v>
      </c>
      <c r="F815" s="181" t="s">
        <v>123</v>
      </c>
      <c r="G815" s="181" t="s">
        <v>124</v>
      </c>
      <c r="H815" s="181" t="s">
        <v>489</v>
      </c>
      <c r="I815" s="182" t="s">
        <v>126</v>
      </c>
      <c r="J815" s="182" t="s">
        <v>113</v>
      </c>
      <c r="K815" s="10"/>
      <c r="L815" s="10"/>
      <c r="M815" s="10"/>
      <c r="N815" s="10"/>
      <c r="O815" s="10"/>
      <c r="P815" s="10"/>
      <c r="Q815" s="10"/>
      <c r="R815" s="10"/>
      <c r="S815" s="10"/>
      <c r="T815" s="10"/>
      <c r="U815" s="10"/>
      <c r="V815" s="10"/>
      <c r="W815" s="10"/>
      <c r="X815" s="10"/>
      <c r="Y815" s="10"/>
    </row>
    <row r="816" spans="1:25" ht="16.5" customHeight="1" x14ac:dyDescent="0.2">
      <c r="A816" s="318" t="s">
        <v>671</v>
      </c>
      <c r="B816" s="319"/>
      <c r="C816" s="332"/>
      <c r="D816" s="148"/>
      <c r="E816" s="148"/>
      <c r="F816" s="148"/>
      <c r="G816" s="148">
        <v>1</v>
      </c>
      <c r="H816" s="148">
        <v>7</v>
      </c>
      <c r="I816" s="148"/>
      <c r="J816" s="170">
        <f t="shared" ref="J816:J830" si="36">PRODUCT(D816:H816)-I816</f>
        <v>7</v>
      </c>
      <c r="K816" s="10"/>
      <c r="L816" s="10"/>
      <c r="M816" s="10"/>
      <c r="N816" s="10"/>
      <c r="O816" s="10"/>
      <c r="P816" s="10"/>
      <c r="Q816" s="10"/>
      <c r="R816" s="10"/>
      <c r="S816" s="10"/>
      <c r="T816" s="10"/>
      <c r="U816" s="10"/>
      <c r="V816" s="10"/>
      <c r="W816" s="10"/>
      <c r="X816" s="10"/>
      <c r="Y816" s="10"/>
    </row>
    <row r="817" spans="1:25" ht="16.5" customHeight="1" x14ac:dyDescent="0.2">
      <c r="A817" s="318" t="s">
        <v>672</v>
      </c>
      <c r="B817" s="319"/>
      <c r="C817" s="332"/>
      <c r="D817" s="148"/>
      <c r="E817" s="148"/>
      <c r="F817" s="148"/>
      <c r="G817" s="148">
        <v>1</v>
      </c>
      <c r="H817" s="148">
        <v>7</v>
      </c>
      <c r="I817" s="148"/>
      <c r="J817" s="170">
        <f t="shared" si="36"/>
        <v>7</v>
      </c>
      <c r="K817" s="10"/>
      <c r="L817" s="10"/>
      <c r="M817" s="10"/>
      <c r="N817" s="10"/>
      <c r="O817" s="10"/>
      <c r="P817" s="10"/>
      <c r="Q817" s="10"/>
      <c r="R817" s="10"/>
      <c r="S817" s="10"/>
      <c r="T817" s="10"/>
      <c r="U817" s="10"/>
      <c r="V817" s="10"/>
      <c r="W817" s="10"/>
      <c r="X817" s="10"/>
      <c r="Y817" s="10"/>
    </row>
    <row r="818" spans="1:25" ht="16.5" customHeight="1" x14ac:dyDescent="0.2">
      <c r="A818" s="318" t="s">
        <v>766</v>
      </c>
      <c r="B818" s="319"/>
      <c r="C818" s="332"/>
      <c r="D818" s="148"/>
      <c r="E818" s="148"/>
      <c r="F818" s="148"/>
      <c r="G818" s="148">
        <v>1</v>
      </c>
      <c r="H818" s="148">
        <v>7</v>
      </c>
      <c r="I818" s="148"/>
      <c r="J818" s="170">
        <f t="shared" si="36"/>
        <v>7</v>
      </c>
      <c r="K818" s="10"/>
      <c r="L818" s="10"/>
      <c r="M818" s="10"/>
      <c r="N818" s="10"/>
      <c r="O818" s="10"/>
      <c r="P818" s="10"/>
      <c r="Q818" s="10"/>
      <c r="R818" s="10"/>
      <c r="S818" s="10"/>
      <c r="T818" s="10"/>
      <c r="U818" s="10"/>
      <c r="V818" s="10"/>
      <c r="W818" s="10"/>
      <c r="X818" s="10"/>
      <c r="Y818" s="10"/>
    </row>
    <row r="819" spans="1:25" ht="16.5" customHeight="1" x14ac:dyDescent="0.2">
      <c r="A819" s="318" t="s">
        <v>794</v>
      </c>
      <c r="B819" s="319"/>
      <c r="C819" s="332"/>
      <c r="D819" s="148"/>
      <c r="E819" s="148"/>
      <c r="F819" s="148"/>
      <c r="G819" s="148">
        <v>1</v>
      </c>
      <c r="H819" s="148">
        <v>7</v>
      </c>
      <c r="I819" s="148"/>
      <c r="J819" s="170">
        <f t="shared" si="36"/>
        <v>7</v>
      </c>
      <c r="K819" s="10"/>
      <c r="L819" s="10"/>
      <c r="M819" s="10"/>
      <c r="N819" s="10"/>
      <c r="O819" s="10"/>
      <c r="P819" s="10"/>
      <c r="Q819" s="10"/>
      <c r="R819" s="10"/>
      <c r="S819" s="10"/>
      <c r="T819" s="10"/>
      <c r="U819" s="10"/>
      <c r="V819" s="10"/>
      <c r="W819" s="10"/>
      <c r="X819" s="10"/>
      <c r="Y819" s="10"/>
    </row>
    <row r="820" spans="1:25" ht="16.5" customHeight="1" x14ac:dyDescent="0.2">
      <c r="A820" s="318" t="s">
        <v>795</v>
      </c>
      <c r="B820" s="319"/>
      <c r="C820" s="332"/>
      <c r="D820" s="148"/>
      <c r="E820" s="148"/>
      <c r="F820" s="148"/>
      <c r="G820" s="148">
        <v>1</v>
      </c>
      <c r="H820" s="148">
        <v>7</v>
      </c>
      <c r="I820" s="148"/>
      <c r="J820" s="170">
        <f t="shared" si="36"/>
        <v>7</v>
      </c>
      <c r="K820" s="10"/>
      <c r="L820" s="10"/>
      <c r="M820" s="10"/>
      <c r="N820" s="10"/>
      <c r="O820" s="10"/>
      <c r="P820" s="10"/>
      <c r="Q820" s="10"/>
      <c r="R820" s="10"/>
      <c r="S820" s="10"/>
      <c r="T820" s="10"/>
      <c r="U820" s="10"/>
      <c r="V820" s="10"/>
      <c r="W820" s="10"/>
      <c r="X820" s="10"/>
      <c r="Y820" s="10"/>
    </row>
    <row r="821" spans="1:25" ht="16.5" customHeight="1" x14ac:dyDescent="0.2">
      <c r="A821" s="318" t="s">
        <v>796</v>
      </c>
      <c r="B821" s="319"/>
      <c r="C821" s="332"/>
      <c r="D821" s="148"/>
      <c r="E821" s="148"/>
      <c r="F821" s="148"/>
      <c r="G821" s="148">
        <v>1</v>
      </c>
      <c r="H821" s="148">
        <v>7</v>
      </c>
      <c r="I821" s="148"/>
      <c r="J821" s="170">
        <f t="shared" si="36"/>
        <v>7</v>
      </c>
      <c r="K821" s="10"/>
      <c r="L821" s="10"/>
      <c r="M821" s="10"/>
      <c r="N821" s="10"/>
      <c r="O821" s="10"/>
      <c r="P821" s="10"/>
      <c r="Q821" s="10"/>
      <c r="R821" s="10"/>
      <c r="S821" s="10"/>
      <c r="T821" s="10"/>
      <c r="U821" s="10"/>
      <c r="V821" s="10"/>
      <c r="W821" s="10"/>
      <c r="X821" s="10"/>
      <c r="Y821" s="10"/>
    </row>
    <row r="822" spans="1:25" ht="16.5" customHeight="1" x14ac:dyDescent="0.2">
      <c r="A822" s="318" t="s">
        <v>797</v>
      </c>
      <c r="B822" s="319"/>
      <c r="C822" s="332"/>
      <c r="D822" s="148"/>
      <c r="E822" s="148"/>
      <c r="F822" s="148"/>
      <c r="G822" s="148">
        <v>1</v>
      </c>
      <c r="H822" s="148">
        <v>7</v>
      </c>
      <c r="I822" s="148"/>
      <c r="J822" s="170">
        <f t="shared" si="36"/>
        <v>7</v>
      </c>
      <c r="K822" s="10"/>
      <c r="L822" s="10"/>
      <c r="M822" s="10"/>
      <c r="N822" s="10"/>
      <c r="O822" s="10"/>
      <c r="P822" s="10"/>
      <c r="Q822" s="10"/>
      <c r="R822" s="10"/>
      <c r="S822" s="10"/>
      <c r="T822" s="10"/>
      <c r="U822" s="10"/>
      <c r="V822" s="10"/>
      <c r="W822" s="10"/>
      <c r="X822" s="10"/>
      <c r="Y822" s="10"/>
    </row>
    <row r="823" spans="1:25" ht="16.5" customHeight="1" x14ac:dyDescent="0.2">
      <c r="A823" s="318" t="s">
        <v>798</v>
      </c>
      <c r="B823" s="319"/>
      <c r="C823" s="332"/>
      <c r="D823" s="148"/>
      <c r="E823" s="148"/>
      <c r="F823" s="148"/>
      <c r="G823" s="148">
        <v>1</v>
      </c>
      <c r="H823" s="148">
        <v>7</v>
      </c>
      <c r="I823" s="148"/>
      <c r="J823" s="170">
        <f t="shared" si="36"/>
        <v>7</v>
      </c>
      <c r="K823" s="10"/>
      <c r="L823" s="10"/>
      <c r="M823" s="10"/>
      <c r="N823" s="10"/>
      <c r="O823" s="10"/>
      <c r="P823" s="10"/>
      <c r="Q823" s="10"/>
      <c r="R823" s="10"/>
      <c r="S823" s="10"/>
      <c r="T823" s="10"/>
      <c r="U823" s="10"/>
      <c r="V823" s="10"/>
      <c r="W823" s="10"/>
      <c r="X823" s="10"/>
      <c r="Y823" s="10"/>
    </row>
    <row r="824" spans="1:25" ht="16.5" customHeight="1" x14ac:dyDescent="0.2">
      <c r="A824" s="318" t="s">
        <v>799</v>
      </c>
      <c r="B824" s="319"/>
      <c r="C824" s="332"/>
      <c r="D824" s="148"/>
      <c r="E824" s="148"/>
      <c r="F824" s="148"/>
      <c r="G824" s="148">
        <v>1</v>
      </c>
      <c r="H824" s="148">
        <v>7</v>
      </c>
      <c r="I824" s="148"/>
      <c r="J824" s="170">
        <f t="shared" si="36"/>
        <v>7</v>
      </c>
      <c r="K824" s="10"/>
      <c r="L824" s="10"/>
      <c r="M824" s="10"/>
      <c r="N824" s="10"/>
      <c r="O824" s="10"/>
      <c r="P824" s="10"/>
      <c r="Q824" s="10"/>
      <c r="R824" s="10"/>
      <c r="S824" s="10"/>
      <c r="T824" s="10"/>
      <c r="U824" s="10"/>
      <c r="V824" s="10"/>
      <c r="W824" s="10"/>
      <c r="X824" s="10"/>
      <c r="Y824" s="10"/>
    </row>
    <row r="825" spans="1:25" ht="16.5" customHeight="1" x14ac:dyDescent="0.2">
      <c r="A825" s="318" t="s">
        <v>681</v>
      </c>
      <c r="B825" s="319"/>
      <c r="C825" s="332"/>
      <c r="D825" s="148"/>
      <c r="E825" s="148"/>
      <c r="F825" s="148"/>
      <c r="G825" s="148">
        <v>1</v>
      </c>
      <c r="H825" s="148">
        <v>7</v>
      </c>
      <c r="I825" s="148"/>
      <c r="J825" s="170">
        <f t="shared" si="36"/>
        <v>7</v>
      </c>
      <c r="K825" s="10"/>
      <c r="L825" s="10"/>
      <c r="M825" s="10"/>
      <c r="N825" s="10"/>
      <c r="O825" s="10"/>
      <c r="P825" s="10"/>
      <c r="Q825" s="10"/>
      <c r="R825" s="10"/>
      <c r="S825" s="10"/>
      <c r="T825" s="10"/>
      <c r="U825" s="10"/>
      <c r="V825" s="10"/>
      <c r="W825" s="10"/>
      <c r="X825" s="10"/>
      <c r="Y825" s="10"/>
    </row>
    <row r="826" spans="1:25" ht="16.5" customHeight="1" x14ac:dyDescent="0.2">
      <c r="A826" s="318" t="s">
        <v>800</v>
      </c>
      <c r="B826" s="319"/>
      <c r="C826" s="332"/>
      <c r="D826" s="148"/>
      <c r="E826" s="148"/>
      <c r="F826" s="148"/>
      <c r="G826" s="148">
        <v>1</v>
      </c>
      <c r="H826" s="148">
        <v>7</v>
      </c>
      <c r="I826" s="148"/>
      <c r="J826" s="170">
        <f t="shared" si="36"/>
        <v>7</v>
      </c>
      <c r="K826" s="10"/>
      <c r="L826" s="10"/>
      <c r="M826" s="10"/>
      <c r="N826" s="10"/>
      <c r="O826" s="10"/>
      <c r="P826" s="10"/>
      <c r="Q826" s="10"/>
      <c r="R826" s="10"/>
      <c r="S826" s="10"/>
      <c r="T826" s="10"/>
      <c r="U826" s="10"/>
      <c r="V826" s="10"/>
      <c r="W826" s="10"/>
      <c r="X826" s="10"/>
      <c r="Y826" s="10"/>
    </row>
    <row r="827" spans="1:25" ht="16.5" customHeight="1" x14ac:dyDescent="0.2">
      <c r="A827" s="318" t="s">
        <v>801</v>
      </c>
      <c r="B827" s="319"/>
      <c r="C827" s="332"/>
      <c r="D827" s="148"/>
      <c r="E827" s="148"/>
      <c r="F827" s="148"/>
      <c r="G827" s="148">
        <v>1</v>
      </c>
      <c r="H827" s="148">
        <v>7</v>
      </c>
      <c r="I827" s="148"/>
      <c r="J827" s="170">
        <f t="shared" si="36"/>
        <v>7</v>
      </c>
      <c r="K827" s="10"/>
      <c r="L827" s="10"/>
      <c r="M827" s="10"/>
      <c r="N827" s="10"/>
      <c r="O827" s="10"/>
      <c r="P827" s="10"/>
      <c r="Q827" s="10"/>
      <c r="R827" s="10"/>
      <c r="S827" s="10"/>
      <c r="T827" s="10"/>
      <c r="U827" s="10"/>
      <c r="V827" s="10"/>
      <c r="W827" s="10"/>
      <c r="X827" s="10"/>
      <c r="Y827" s="10"/>
    </row>
    <row r="828" spans="1:25" ht="16.5" customHeight="1" x14ac:dyDescent="0.2">
      <c r="A828" s="318" t="s">
        <v>802</v>
      </c>
      <c r="B828" s="319"/>
      <c r="C828" s="332"/>
      <c r="D828" s="148"/>
      <c r="E828" s="148"/>
      <c r="F828" s="148"/>
      <c r="G828" s="148">
        <v>1</v>
      </c>
      <c r="H828" s="148">
        <v>7</v>
      </c>
      <c r="I828" s="148"/>
      <c r="J828" s="170">
        <f t="shared" si="36"/>
        <v>7</v>
      </c>
      <c r="K828" s="10"/>
      <c r="L828" s="10"/>
      <c r="M828" s="10"/>
      <c r="N828" s="10"/>
      <c r="O828" s="10"/>
      <c r="P828" s="10"/>
      <c r="Q828" s="10"/>
      <c r="R828" s="10"/>
      <c r="S828" s="10"/>
      <c r="T828" s="10"/>
      <c r="U828" s="10"/>
      <c r="V828" s="10"/>
      <c r="W828" s="10"/>
      <c r="X828" s="10"/>
      <c r="Y828" s="10"/>
    </row>
    <row r="829" spans="1:25" ht="16.5" customHeight="1" x14ac:dyDescent="0.2">
      <c r="A829" s="318" t="s">
        <v>803</v>
      </c>
      <c r="B829" s="319"/>
      <c r="C829" s="332"/>
      <c r="D829" s="148"/>
      <c r="E829" s="148"/>
      <c r="F829" s="148"/>
      <c r="G829" s="148">
        <v>1</v>
      </c>
      <c r="H829" s="148">
        <v>7</v>
      </c>
      <c r="I829" s="148"/>
      <c r="J829" s="170">
        <f t="shared" si="36"/>
        <v>7</v>
      </c>
      <c r="K829" s="10"/>
      <c r="L829" s="10"/>
      <c r="M829" s="10"/>
      <c r="N829" s="10"/>
      <c r="O829" s="10"/>
      <c r="P829" s="10"/>
      <c r="Q829" s="10"/>
      <c r="R829" s="10"/>
      <c r="S829" s="10"/>
      <c r="T829" s="10"/>
      <c r="U829" s="10"/>
      <c r="V829" s="10"/>
      <c r="W829" s="10"/>
      <c r="X829" s="10"/>
      <c r="Y829" s="10"/>
    </row>
    <row r="830" spans="1:25" ht="16.5" customHeight="1" x14ac:dyDescent="0.2">
      <c r="A830" s="318" t="s">
        <v>804</v>
      </c>
      <c r="B830" s="319"/>
      <c r="C830" s="332"/>
      <c r="D830" s="148"/>
      <c r="E830" s="148"/>
      <c r="F830" s="148"/>
      <c r="G830" s="148">
        <v>1</v>
      </c>
      <c r="H830" s="148">
        <v>7</v>
      </c>
      <c r="I830" s="148"/>
      <c r="J830" s="170">
        <f t="shared" si="36"/>
        <v>7</v>
      </c>
      <c r="K830" s="10"/>
      <c r="L830" s="10"/>
      <c r="M830" s="10"/>
      <c r="N830" s="10"/>
      <c r="O830" s="10"/>
      <c r="P830" s="10"/>
      <c r="Q830" s="10"/>
      <c r="R830" s="10"/>
      <c r="S830" s="10"/>
      <c r="T830" s="10"/>
      <c r="U830" s="10"/>
      <c r="V830" s="10"/>
      <c r="W830" s="10"/>
      <c r="X830" s="10"/>
      <c r="Y830" s="10"/>
    </row>
    <row r="831" spans="1:25" ht="16.5" customHeight="1" x14ac:dyDescent="0.2">
      <c r="A831" s="342" t="str">
        <f>"TOTAL - "&amp;'Planilha orçamentária'!F67</f>
        <v>TOTAL - UN</v>
      </c>
      <c r="B831" s="342"/>
      <c r="C831" s="342"/>
      <c r="D831" s="342"/>
      <c r="E831" s="342"/>
      <c r="F831" s="342"/>
      <c r="G831" s="342"/>
      <c r="H831" s="342"/>
      <c r="I831" s="342"/>
      <c r="J831" s="149">
        <f>SUM(J816:J830)</f>
        <v>105</v>
      </c>
      <c r="K831" s="10"/>
      <c r="L831" s="10"/>
      <c r="M831" s="10"/>
      <c r="N831" s="10"/>
      <c r="O831" s="10"/>
      <c r="P831" s="10"/>
      <c r="Q831" s="10"/>
      <c r="R831" s="10"/>
      <c r="S831" s="10"/>
      <c r="T831" s="10"/>
      <c r="U831" s="10"/>
      <c r="V831" s="10"/>
      <c r="W831" s="10"/>
      <c r="X831" s="10"/>
      <c r="Y831" s="10"/>
    </row>
    <row r="832" spans="1:25" ht="37.5" customHeight="1" x14ac:dyDescent="0.2">
      <c r="A832" s="184" t="str">
        <f>'Planilha orçamentária'!A68</f>
        <v>10.2</v>
      </c>
      <c r="B832" s="343" t="str">
        <f>'Planilha orçamentária'!D68</f>
        <v>Bacia sanitária (vaso) de louça convencional, acessível (PCR/PMR), cor branca, com instalação de sóculo na base da bacia acompanhando a projeção da base, não ultrapassando altura de 5cm, altura máxima de 46cm (bacia+assento), inclusive acessórios de fixação/vedação, válvula de descarga metálica com acionamento duplo, tubo de ligação de latão com canopla, fornecimento, instalação e rejuntamento, exclusive assento</v>
      </c>
      <c r="C832" s="344"/>
      <c r="D832" s="344"/>
      <c r="E832" s="344"/>
      <c r="F832" s="344"/>
      <c r="G832" s="344"/>
      <c r="H832" s="344"/>
      <c r="I832" s="344"/>
      <c r="J832" s="344"/>
      <c r="K832" s="10"/>
      <c r="L832" s="10"/>
      <c r="M832" s="10"/>
      <c r="N832" s="10"/>
      <c r="O832" s="10"/>
      <c r="P832" s="10"/>
      <c r="Q832" s="10"/>
      <c r="R832" s="10"/>
      <c r="S832" s="10"/>
      <c r="T832" s="10"/>
      <c r="U832" s="10"/>
      <c r="V832" s="10"/>
      <c r="W832" s="10"/>
      <c r="X832" s="10"/>
      <c r="Y832" s="10"/>
    </row>
    <row r="833" spans="1:25" ht="25.5" customHeight="1" x14ac:dyDescent="0.2">
      <c r="A833" s="327" t="s">
        <v>120</v>
      </c>
      <c r="B833" s="328"/>
      <c r="C833" s="328"/>
      <c r="D833" s="182" t="s">
        <v>121</v>
      </c>
      <c r="E833" s="182" t="s">
        <v>122</v>
      </c>
      <c r="F833" s="181" t="s">
        <v>123</v>
      </c>
      <c r="G833" s="181" t="s">
        <v>124</v>
      </c>
      <c r="H833" s="181" t="s">
        <v>489</v>
      </c>
      <c r="I833" s="182" t="s">
        <v>126</v>
      </c>
      <c r="J833" s="182" t="s">
        <v>113</v>
      </c>
      <c r="K833" s="10"/>
      <c r="L833" s="10"/>
      <c r="M833" s="10"/>
      <c r="N833" s="10"/>
      <c r="O833" s="10"/>
      <c r="P833" s="10"/>
      <c r="Q833" s="10"/>
      <c r="R833" s="10"/>
      <c r="S833" s="10"/>
      <c r="T833" s="10"/>
      <c r="U833" s="10"/>
      <c r="V833" s="10"/>
      <c r="W833" s="10"/>
      <c r="X833" s="10"/>
      <c r="Y833" s="10"/>
    </row>
    <row r="834" spans="1:25" ht="16.5" customHeight="1" x14ac:dyDescent="0.2">
      <c r="A834" s="318" t="s">
        <v>673</v>
      </c>
      <c r="B834" s="319"/>
      <c r="C834" s="332"/>
      <c r="D834" s="148"/>
      <c r="E834" s="148"/>
      <c r="F834" s="148"/>
      <c r="G834" s="148">
        <v>1</v>
      </c>
      <c r="H834" s="148">
        <v>7</v>
      </c>
      <c r="I834" s="148"/>
      <c r="J834" s="170">
        <f t="shared" ref="J834" si="37">PRODUCT(D834:H834)-I834</f>
        <v>7</v>
      </c>
      <c r="K834" s="10"/>
      <c r="L834" s="10"/>
      <c r="M834" s="10"/>
      <c r="N834" s="10"/>
      <c r="O834" s="10"/>
      <c r="P834" s="10"/>
      <c r="Q834" s="10"/>
      <c r="R834" s="10"/>
      <c r="S834" s="10"/>
      <c r="T834" s="10"/>
      <c r="U834" s="10"/>
      <c r="V834" s="10"/>
      <c r="W834" s="10"/>
      <c r="X834" s="10"/>
      <c r="Y834" s="10"/>
    </row>
    <row r="835" spans="1:25" ht="16.5" customHeight="1" x14ac:dyDescent="0.2">
      <c r="A835" s="342" t="str">
        <f>"TOTAL - "&amp;'Planilha orçamentária'!F68</f>
        <v>TOTAL - UN</v>
      </c>
      <c r="B835" s="342"/>
      <c r="C835" s="342"/>
      <c r="D835" s="342"/>
      <c r="E835" s="342"/>
      <c r="F835" s="342"/>
      <c r="G835" s="342"/>
      <c r="H835" s="342"/>
      <c r="I835" s="342"/>
      <c r="J835" s="149">
        <f>SUM(J834)</f>
        <v>7</v>
      </c>
      <c r="K835" s="10"/>
      <c r="L835" s="10"/>
      <c r="M835" s="10"/>
      <c r="N835" s="10"/>
      <c r="O835" s="10"/>
      <c r="P835" s="10"/>
      <c r="Q835" s="10"/>
      <c r="R835" s="10"/>
      <c r="S835" s="10"/>
      <c r="T835" s="10"/>
      <c r="U835" s="10"/>
      <c r="V835" s="10"/>
      <c r="W835" s="10"/>
      <c r="X835" s="10"/>
      <c r="Y835" s="10"/>
    </row>
    <row r="836" spans="1:25" ht="16.5" customHeight="1" x14ac:dyDescent="0.2">
      <c r="A836" s="184" t="str">
        <f>'Planilha orçamentária'!A69</f>
        <v>10.3</v>
      </c>
      <c r="B836" s="343" t="str">
        <f>'Planilha orçamentária'!D69</f>
        <v>Chuveiro elétrico branco, tensão 127v/220v, potência 4600w/5500w, inclusive braço, fornecimento e instalação</v>
      </c>
      <c r="C836" s="344"/>
      <c r="D836" s="344"/>
      <c r="E836" s="344"/>
      <c r="F836" s="344"/>
      <c r="G836" s="344"/>
      <c r="H836" s="344"/>
      <c r="I836" s="344"/>
      <c r="J836" s="344"/>
      <c r="K836" s="10"/>
      <c r="L836" s="10"/>
      <c r="M836" s="10"/>
      <c r="N836" s="10"/>
      <c r="O836" s="10"/>
      <c r="P836" s="10"/>
      <c r="Q836" s="10"/>
      <c r="R836" s="10"/>
      <c r="S836" s="10"/>
      <c r="T836" s="10"/>
      <c r="U836" s="10"/>
      <c r="V836" s="10"/>
      <c r="W836" s="10"/>
      <c r="X836" s="10"/>
      <c r="Y836" s="10"/>
    </row>
    <row r="837" spans="1:25" ht="25.5" customHeight="1" x14ac:dyDescent="0.2">
      <c r="A837" s="327" t="s">
        <v>120</v>
      </c>
      <c r="B837" s="328"/>
      <c r="C837" s="328"/>
      <c r="D837" s="182" t="s">
        <v>121</v>
      </c>
      <c r="E837" s="182" t="s">
        <v>122</v>
      </c>
      <c r="F837" s="181" t="s">
        <v>123</v>
      </c>
      <c r="G837" s="181" t="s">
        <v>124</v>
      </c>
      <c r="H837" s="181" t="s">
        <v>489</v>
      </c>
      <c r="I837" s="182" t="s">
        <v>126</v>
      </c>
      <c r="J837" s="182" t="s">
        <v>113</v>
      </c>
      <c r="K837" s="10"/>
      <c r="L837" s="10"/>
      <c r="M837" s="10"/>
      <c r="N837" s="10"/>
      <c r="O837" s="10"/>
      <c r="P837" s="10"/>
      <c r="Q837" s="10"/>
      <c r="R837" s="10"/>
      <c r="S837" s="10"/>
      <c r="T837" s="10"/>
      <c r="U837" s="10"/>
      <c r="V837" s="10"/>
      <c r="W837" s="10"/>
      <c r="X837" s="10"/>
      <c r="Y837" s="10"/>
    </row>
    <row r="838" spans="1:25" ht="16.5" customHeight="1" x14ac:dyDescent="0.2">
      <c r="A838" s="318" t="s">
        <v>671</v>
      </c>
      <c r="B838" s="319"/>
      <c r="C838" s="332"/>
      <c r="D838" s="148"/>
      <c r="E838" s="148"/>
      <c r="F838" s="148"/>
      <c r="G838" s="148">
        <v>1</v>
      </c>
      <c r="H838" s="148">
        <v>7</v>
      </c>
      <c r="I838" s="148"/>
      <c r="J838" s="170">
        <f t="shared" ref="J838:J853" si="38">PRODUCT(D838:H838)-I838</f>
        <v>7</v>
      </c>
      <c r="K838" s="10"/>
      <c r="L838" s="10"/>
      <c r="M838" s="10"/>
      <c r="N838" s="10"/>
      <c r="O838" s="10"/>
      <c r="P838" s="10"/>
      <c r="Q838" s="10"/>
      <c r="R838" s="10"/>
      <c r="S838" s="10"/>
      <c r="T838" s="10"/>
      <c r="U838" s="10"/>
      <c r="V838" s="10"/>
      <c r="W838" s="10"/>
      <c r="X838" s="10"/>
      <c r="Y838" s="10"/>
    </row>
    <row r="839" spans="1:25" ht="16.5" customHeight="1" x14ac:dyDescent="0.2">
      <c r="A839" s="318" t="s">
        <v>672</v>
      </c>
      <c r="B839" s="319"/>
      <c r="C839" s="332"/>
      <c r="D839" s="148"/>
      <c r="E839" s="148"/>
      <c r="F839" s="148"/>
      <c r="G839" s="148">
        <v>1</v>
      </c>
      <c r="H839" s="148">
        <v>7</v>
      </c>
      <c r="I839" s="148"/>
      <c r="J839" s="170">
        <f t="shared" si="38"/>
        <v>7</v>
      </c>
      <c r="K839" s="10"/>
      <c r="L839" s="10"/>
      <c r="M839" s="10"/>
      <c r="N839" s="10"/>
      <c r="O839" s="10"/>
      <c r="P839" s="10"/>
      <c r="Q839" s="10"/>
      <c r="R839" s="10"/>
      <c r="S839" s="10"/>
      <c r="T839" s="10"/>
      <c r="U839" s="10"/>
      <c r="V839" s="10"/>
      <c r="W839" s="10"/>
      <c r="X839" s="10"/>
      <c r="Y839" s="10"/>
    </row>
    <row r="840" spans="1:25" ht="16.5" customHeight="1" x14ac:dyDescent="0.2">
      <c r="A840" s="318" t="s">
        <v>673</v>
      </c>
      <c r="B840" s="319"/>
      <c r="C840" s="332"/>
      <c r="D840" s="148"/>
      <c r="E840" s="148"/>
      <c r="F840" s="148"/>
      <c r="G840" s="148">
        <v>1</v>
      </c>
      <c r="H840" s="148">
        <v>7</v>
      </c>
      <c r="I840" s="148"/>
      <c r="J840" s="170">
        <f t="shared" si="38"/>
        <v>7</v>
      </c>
      <c r="K840" s="10"/>
      <c r="L840" s="10"/>
      <c r="M840" s="10"/>
      <c r="N840" s="10"/>
      <c r="O840" s="10"/>
      <c r="P840" s="10"/>
      <c r="Q840" s="10"/>
      <c r="R840" s="10"/>
      <c r="S840" s="10"/>
      <c r="T840" s="10"/>
      <c r="U840" s="10"/>
      <c r="V840" s="10"/>
      <c r="W840" s="10"/>
      <c r="X840" s="10"/>
      <c r="Y840" s="10"/>
    </row>
    <row r="841" spans="1:25" ht="16.5" customHeight="1" x14ac:dyDescent="0.2">
      <c r="A841" s="318" t="s">
        <v>766</v>
      </c>
      <c r="B841" s="319"/>
      <c r="C841" s="332"/>
      <c r="D841" s="148"/>
      <c r="E841" s="148"/>
      <c r="F841" s="148"/>
      <c r="G841" s="148">
        <v>1</v>
      </c>
      <c r="H841" s="148">
        <v>7</v>
      </c>
      <c r="I841" s="148"/>
      <c r="J841" s="170">
        <f t="shared" si="38"/>
        <v>7</v>
      </c>
      <c r="K841" s="10"/>
      <c r="L841" s="10"/>
      <c r="M841" s="10"/>
      <c r="N841" s="10"/>
      <c r="O841" s="10"/>
      <c r="P841" s="10"/>
      <c r="Q841" s="10"/>
      <c r="R841" s="10"/>
      <c r="S841" s="10"/>
      <c r="T841" s="10"/>
      <c r="U841" s="10"/>
      <c r="V841" s="10"/>
      <c r="W841" s="10"/>
      <c r="X841" s="10"/>
      <c r="Y841" s="10"/>
    </row>
    <row r="842" spans="1:25" ht="16.5" customHeight="1" x14ac:dyDescent="0.2">
      <c r="A842" s="318" t="s">
        <v>794</v>
      </c>
      <c r="B842" s="319"/>
      <c r="C842" s="332"/>
      <c r="D842" s="148"/>
      <c r="E842" s="148"/>
      <c r="F842" s="148"/>
      <c r="G842" s="148">
        <v>1</v>
      </c>
      <c r="H842" s="148">
        <v>7</v>
      </c>
      <c r="I842" s="148"/>
      <c r="J842" s="170">
        <f t="shared" si="38"/>
        <v>7</v>
      </c>
      <c r="K842" s="10"/>
      <c r="L842" s="10"/>
      <c r="M842" s="10"/>
      <c r="N842" s="10"/>
      <c r="O842" s="10"/>
      <c r="P842" s="10"/>
      <c r="Q842" s="10"/>
      <c r="R842" s="10"/>
      <c r="S842" s="10"/>
      <c r="T842" s="10"/>
      <c r="U842" s="10"/>
      <c r="V842" s="10"/>
      <c r="W842" s="10"/>
      <c r="X842" s="10"/>
      <c r="Y842" s="10"/>
    </row>
    <row r="843" spans="1:25" ht="16.5" customHeight="1" x14ac:dyDescent="0.2">
      <c r="A843" s="318" t="s">
        <v>795</v>
      </c>
      <c r="B843" s="319"/>
      <c r="C843" s="332"/>
      <c r="D843" s="148"/>
      <c r="E843" s="148"/>
      <c r="F843" s="148"/>
      <c r="G843" s="148">
        <v>1</v>
      </c>
      <c r="H843" s="148">
        <v>7</v>
      </c>
      <c r="I843" s="148"/>
      <c r="J843" s="170">
        <f t="shared" si="38"/>
        <v>7</v>
      </c>
      <c r="K843" s="10"/>
      <c r="L843" s="10"/>
      <c r="M843" s="10"/>
      <c r="N843" s="10"/>
      <c r="O843" s="10"/>
      <c r="P843" s="10"/>
      <c r="Q843" s="10"/>
      <c r="R843" s="10"/>
      <c r="S843" s="10"/>
      <c r="T843" s="10"/>
      <c r="U843" s="10"/>
      <c r="V843" s="10"/>
      <c r="W843" s="10"/>
      <c r="X843" s="10"/>
      <c r="Y843" s="10"/>
    </row>
    <row r="844" spans="1:25" ht="16.5" customHeight="1" x14ac:dyDescent="0.2">
      <c r="A844" s="318" t="s">
        <v>796</v>
      </c>
      <c r="B844" s="319"/>
      <c r="C844" s="332"/>
      <c r="D844" s="148"/>
      <c r="E844" s="148"/>
      <c r="F844" s="148"/>
      <c r="G844" s="148">
        <v>1</v>
      </c>
      <c r="H844" s="148">
        <v>7</v>
      </c>
      <c r="I844" s="148"/>
      <c r="J844" s="170">
        <f t="shared" si="38"/>
        <v>7</v>
      </c>
      <c r="K844" s="10"/>
      <c r="L844" s="10"/>
      <c r="M844" s="10"/>
      <c r="N844" s="10"/>
      <c r="O844" s="10"/>
      <c r="P844" s="10"/>
      <c r="Q844" s="10"/>
      <c r="R844" s="10"/>
      <c r="S844" s="10"/>
      <c r="T844" s="10"/>
      <c r="U844" s="10"/>
      <c r="V844" s="10"/>
      <c r="W844" s="10"/>
      <c r="X844" s="10"/>
      <c r="Y844" s="10"/>
    </row>
    <row r="845" spans="1:25" ht="16.5" customHeight="1" x14ac:dyDescent="0.2">
      <c r="A845" s="318" t="s">
        <v>797</v>
      </c>
      <c r="B845" s="319"/>
      <c r="C845" s="332"/>
      <c r="D845" s="148"/>
      <c r="E845" s="148"/>
      <c r="F845" s="148"/>
      <c r="G845" s="148">
        <v>1</v>
      </c>
      <c r="H845" s="148">
        <v>7</v>
      </c>
      <c r="I845" s="148"/>
      <c r="J845" s="170">
        <f t="shared" si="38"/>
        <v>7</v>
      </c>
      <c r="K845" s="10"/>
      <c r="L845" s="10"/>
      <c r="M845" s="10"/>
      <c r="N845" s="10"/>
      <c r="O845" s="10"/>
      <c r="P845" s="10"/>
      <c r="Q845" s="10"/>
      <c r="R845" s="10"/>
      <c r="S845" s="10"/>
      <c r="T845" s="10"/>
      <c r="U845" s="10"/>
      <c r="V845" s="10"/>
      <c r="W845" s="10"/>
      <c r="X845" s="10"/>
      <c r="Y845" s="10"/>
    </row>
    <row r="846" spans="1:25" ht="16.5" customHeight="1" x14ac:dyDescent="0.2">
      <c r="A846" s="318" t="s">
        <v>798</v>
      </c>
      <c r="B846" s="319"/>
      <c r="C846" s="332"/>
      <c r="D846" s="148"/>
      <c r="E846" s="148"/>
      <c r="F846" s="148"/>
      <c r="G846" s="148">
        <v>1</v>
      </c>
      <c r="H846" s="148">
        <v>7</v>
      </c>
      <c r="I846" s="148"/>
      <c r="J846" s="170">
        <f t="shared" si="38"/>
        <v>7</v>
      </c>
      <c r="K846" s="10"/>
      <c r="L846" s="10"/>
      <c r="M846" s="10"/>
      <c r="N846" s="10"/>
      <c r="O846" s="10"/>
      <c r="P846" s="10"/>
      <c r="Q846" s="10"/>
      <c r="R846" s="10"/>
      <c r="S846" s="10"/>
      <c r="T846" s="10"/>
      <c r="U846" s="10"/>
      <c r="V846" s="10"/>
      <c r="W846" s="10"/>
      <c r="X846" s="10"/>
      <c r="Y846" s="10"/>
    </row>
    <row r="847" spans="1:25" ht="16.5" customHeight="1" x14ac:dyDescent="0.2">
      <c r="A847" s="318" t="s">
        <v>799</v>
      </c>
      <c r="B847" s="319"/>
      <c r="C847" s="332"/>
      <c r="D847" s="148"/>
      <c r="E847" s="148"/>
      <c r="F847" s="148"/>
      <c r="G847" s="148">
        <v>1</v>
      </c>
      <c r="H847" s="148">
        <v>7</v>
      </c>
      <c r="I847" s="148"/>
      <c r="J847" s="170">
        <f t="shared" si="38"/>
        <v>7</v>
      </c>
      <c r="K847" s="10"/>
      <c r="L847" s="10"/>
      <c r="M847" s="10"/>
      <c r="N847" s="10"/>
      <c r="O847" s="10"/>
      <c r="P847" s="10"/>
      <c r="Q847" s="10"/>
      <c r="R847" s="10"/>
      <c r="S847" s="10"/>
      <c r="T847" s="10"/>
      <c r="U847" s="10"/>
      <c r="V847" s="10"/>
      <c r="W847" s="10"/>
      <c r="X847" s="10"/>
      <c r="Y847" s="10"/>
    </row>
    <row r="848" spans="1:25" ht="16.5" customHeight="1" x14ac:dyDescent="0.2">
      <c r="A848" s="318" t="s">
        <v>681</v>
      </c>
      <c r="B848" s="319"/>
      <c r="C848" s="332"/>
      <c r="D848" s="148"/>
      <c r="E848" s="148"/>
      <c r="F848" s="148"/>
      <c r="G848" s="148">
        <v>1</v>
      </c>
      <c r="H848" s="148">
        <v>7</v>
      </c>
      <c r="I848" s="148"/>
      <c r="J848" s="170">
        <f t="shared" si="38"/>
        <v>7</v>
      </c>
      <c r="K848" s="10"/>
      <c r="L848" s="10"/>
      <c r="M848" s="10"/>
      <c r="N848" s="10"/>
      <c r="O848" s="10"/>
      <c r="P848" s="10"/>
      <c r="Q848" s="10"/>
      <c r="R848" s="10"/>
      <c r="S848" s="10"/>
      <c r="T848" s="10"/>
      <c r="U848" s="10"/>
      <c r="V848" s="10"/>
      <c r="W848" s="10"/>
      <c r="X848" s="10"/>
      <c r="Y848" s="10"/>
    </row>
    <row r="849" spans="1:25" ht="16.5" customHeight="1" x14ac:dyDescent="0.2">
      <c r="A849" s="318" t="s">
        <v>800</v>
      </c>
      <c r="B849" s="319"/>
      <c r="C849" s="332"/>
      <c r="D849" s="148"/>
      <c r="E849" s="148"/>
      <c r="F849" s="148"/>
      <c r="G849" s="148">
        <v>1</v>
      </c>
      <c r="H849" s="148">
        <v>7</v>
      </c>
      <c r="I849" s="148"/>
      <c r="J849" s="170">
        <f t="shared" si="38"/>
        <v>7</v>
      </c>
      <c r="K849" s="10"/>
      <c r="L849" s="10"/>
      <c r="M849" s="10"/>
      <c r="N849" s="10"/>
      <c r="O849" s="10"/>
      <c r="P849" s="10"/>
      <c r="Q849" s="10"/>
      <c r="R849" s="10"/>
      <c r="S849" s="10"/>
      <c r="T849" s="10"/>
      <c r="U849" s="10"/>
      <c r="V849" s="10"/>
      <c r="W849" s="10"/>
      <c r="X849" s="10"/>
      <c r="Y849" s="10"/>
    </row>
    <row r="850" spans="1:25" ht="16.5" customHeight="1" x14ac:dyDescent="0.2">
      <c r="A850" s="318" t="s">
        <v>801</v>
      </c>
      <c r="B850" s="319"/>
      <c r="C850" s="332"/>
      <c r="D850" s="148"/>
      <c r="E850" s="148"/>
      <c r="F850" s="148"/>
      <c r="G850" s="148">
        <v>1</v>
      </c>
      <c r="H850" s="148">
        <v>7</v>
      </c>
      <c r="I850" s="148"/>
      <c r="J850" s="170">
        <f t="shared" si="38"/>
        <v>7</v>
      </c>
      <c r="K850" s="10"/>
      <c r="L850" s="10"/>
      <c r="M850" s="10"/>
      <c r="N850" s="10"/>
      <c r="O850" s="10"/>
      <c r="P850" s="10"/>
      <c r="Q850" s="10"/>
      <c r="R850" s="10"/>
      <c r="S850" s="10"/>
      <c r="T850" s="10"/>
      <c r="U850" s="10"/>
      <c r="V850" s="10"/>
      <c r="W850" s="10"/>
      <c r="X850" s="10"/>
      <c r="Y850" s="10"/>
    </row>
    <row r="851" spans="1:25" ht="16.5" customHeight="1" x14ac:dyDescent="0.2">
      <c r="A851" s="318" t="s">
        <v>802</v>
      </c>
      <c r="B851" s="319"/>
      <c r="C851" s="332"/>
      <c r="D851" s="148"/>
      <c r="E851" s="148"/>
      <c r="F851" s="148"/>
      <c r="G851" s="148">
        <v>1</v>
      </c>
      <c r="H851" s="148">
        <v>7</v>
      </c>
      <c r="I851" s="148"/>
      <c r="J851" s="170">
        <f t="shared" si="38"/>
        <v>7</v>
      </c>
      <c r="K851" s="10"/>
      <c r="L851" s="10"/>
      <c r="M851" s="10"/>
      <c r="N851" s="10"/>
      <c r="O851" s="10"/>
      <c r="P851" s="10"/>
      <c r="Q851" s="10"/>
      <c r="R851" s="10"/>
      <c r="S851" s="10"/>
      <c r="T851" s="10"/>
      <c r="U851" s="10"/>
      <c r="V851" s="10"/>
      <c r="W851" s="10"/>
      <c r="X851" s="10"/>
      <c r="Y851" s="10"/>
    </row>
    <row r="852" spans="1:25" ht="16.5" customHeight="1" x14ac:dyDescent="0.2">
      <c r="A852" s="318" t="s">
        <v>803</v>
      </c>
      <c r="B852" s="319"/>
      <c r="C852" s="332"/>
      <c r="D852" s="148"/>
      <c r="E852" s="148"/>
      <c r="F852" s="148"/>
      <c r="G852" s="148">
        <v>1</v>
      </c>
      <c r="H852" s="148">
        <v>7</v>
      </c>
      <c r="I852" s="148"/>
      <c r="J852" s="170">
        <f t="shared" si="38"/>
        <v>7</v>
      </c>
      <c r="K852" s="10"/>
      <c r="L852" s="10"/>
      <c r="M852" s="10"/>
      <c r="N852" s="10"/>
      <c r="O852" s="10"/>
      <c r="P852" s="10"/>
      <c r="Q852" s="10"/>
      <c r="R852" s="10"/>
      <c r="S852" s="10"/>
      <c r="T852" s="10"/>
      <c r="U852" s="10"/>
      <c r="V852" s="10"/>
      <c r="W852" s="10"/>
      <c r="X852" s="10"/>
      <c r="Y852" s="10"/>
    </row>
    <row r="853" spans="1:25" ht="16.5" customHeight="1" x14ac:dyDescent="0.2">
      <c r="A853" s="318" t="s">
        <v>804</v>
      </c>
      <c r="B853" s="319"/>
      <c r="C853" s="332"/>
      <c r="D853" s="148"/>
      <c r="E853" s="148"/>
      <c r="F853" s="148"/>
      <c r="G853" s="148">
        <v>1</v>
      </c>
      <c r="H853" s="148">
        <v>7</v>
      </c>
      <c r="I853" s="148"/>
      <c r="J853" s="170">
        <f t="shared" si="38"/>
        <v>7</v>
      </c>
      <c r="K853" s="10"/>
      <c r="L853" s="10"/>
      <c r="M853" s="10"/>
      <c r="N853" s="10"/>
      <c r="O853" s="10"/>
      <c r="P853" s="10"/>
      <c r="Q853" s="10"/>
      <c r="R853" s="10"/>
      <c r="S853" s="10"/>
      <c r="T853" s="10"/>
      <c r="U853" s="10"/>
      <c r="V853" s="10"/>
      <c r="W853" s="10"/>
      <c r="X853" s="10"/>
      <c r="Y853" s="10"/>
    </row>
    <row r="854" spans="1:25" ht="16.5" customHeight="1" x14ac:dyDescent="0.2">
      <c r="A854" s="342" t="str">
        <f>"TOTAL - "&amp;'Planilha orçamentária'!F69</f>
        <v>TOTAL - UN</v>
      </c>
      <c r="B854" s="342"/>
      <c r="C854" s="342"/>
      <c r="D854" s="342"/>
      <c r="E854" s="342"/>
      <c r="F854" s="342"/>
      <c r="G854" s="342"/>
      <c r="H854" s="342"/>
      <c r="I854" s="342"/>
      <c r="J854" s="149">
        <f>SUM(J838:J853)</f>
        <v>112</v>
      </c>
      <c r="K854" s="10"/>
      <c r="L854" s="10"/>
      <c r="M854" s="10"/>
      <c r="N854" s="10"/>
      <c r="O854" s="10"/>
      <c r="P854" s="10"/>
      <c r="Q854" s="10"/>
      <c r="R854" s="10"/>
      <c r="S854" s="10"/>
      <c r="T854" s="10"/>
      <c r="U854" s="10"/>
      <c r="V854" s="10"/>
      <c r="W854" s="10"/>
      <c r="X854" s="10"/>
      <c r="Y854" s="10"/>
    </row>
    <row r="855" spans="1:25" ht="25.5" customHeight="1" x14ac:dyDescent="0.2">
      <c r="A855" s="184" t="str">
        <f>'Planilha orçamentária'!A70</f>
        <v>10.4</v>
      </c>
      <c r="B855" s="343" t="str">
        <f>'Planilha orçamentária'!D70</f>
        <v>Lavatório de louça branca sem coluna, tamanho médio, inclusive acessórios de fixação, válvula de escoamento de metal com acabamento cromado, sifão de metal tipo copo com acabamento cromado, fornecimento, instalação e rejuntamento, exclusive torneira e engate flexível</v>
      </c>
      <c r="C855" s="344"/>
      <c r="D855" s="344"/>
      <c r="E855" s="344"/>
      <c r="F855" s="344"/>
      <c r="G855" s="344"/>
      <c r="H855" s="344"/>
      <c r="I855" s="344"/>
      <c r="J855" s="344"/>
      <c r="K855" s="10"/>
      <c r="L855" s="10"/>
      <c r="M855" s="10"/>
      <c r="N855" s="10"/>
      <c r="O855" s="10"/>
      <c r="P855" s="10"/>
      <c r="Q855" s="10"/>
      <c r="R855" s="10"/>
      <c r="S855" s="10"/>
      <c r="T855" s="10"/>
      <c r="U855" s="10"/>
      <c r="V855" s="10"/>
      <c r="W855" s="10"/>
      <c r="X855" s="10"/>
      <c r="Y855" s="10"/>
    </row>
    <row r="856" spans="1:25" ht="25.5" customHeight="1" x14ac:dyDescent="0.2">
      <c r="A856" s="327" t="s">
        <v>120</v>
      </c>
      <c r="B856" s="328"/>
      <c r="C856" s="328"/>
      <c r="D856" s="182" t="s">
        <v>121</v>
      </c>
      <c r="E856" s="182" t="s">
        <v>122</v>
      </c>
      <c r="F856" s="181" t="s">
        <v>123</v>
      </c>
      <c r="G856" s="181" t="s">
        <v>124</v>
      </c>
      <c r="H856" s="181" t="s">
        <v>489</v>
      </c>
      <c r="I856" s="182" t="s">
        <v>126</v>
      </c>
      <c r="J856" s="182" t="s">
        <v>113</v>
      </c>
      <c r="K856" s="10"/>
      <c r="L856" s="10"/>
      <c r="M856" s="10"/>
      <c r="N856" s="10"/>
      <c r="O856" s="10"/>
      <c r="P856" s="10"/>
      <c r="Q856" s="10"/>
      <c r="R856" s="10"/>
      <c r="S856" s="10"/>
      <c r="T856" s="10"/>
      <c r="U856" s="10"/>
      <c r="V856" s="10"/>
      <c r="W856" s="10"/>
      <c r="X856" s="10"/>
      <c r="Y856" s="10"/>
    </row>
    <row r="857" spans="1:25" ht="16.5" customHeight="1" x14ac:dyDescent="0.2">
      <c r="A857" s="318" t="s">
        <v>671</v>
      </c>
      <c r="B857" s="319"/>
      <c r="C857" s="332"/>
      <c r="D857" s="148"/>
      <c r="E857" s="148"/>
      <c r="F857" s="148"/>
      <c r="G857" s="148">
        <v>1</v>
      </c>
      <c r="H857" s="148">
        <v>7</v>
      </c>
      <c r="I857" s="148"/>
      <c r="J857" s="170">
        <f>PRODUCT(D857:H857)-I857</f>
        <v>7</v>
      </c>
      <c r="K857" s="10"/>
      <c r="L857" s="10"/>
      <c r="M857" s="10"/>
      <c r="N857" s="10"/>
      <c r="O857" s="10"/>
      <c r="P857" s="10"/>
      <c r="Q857" s="10"/>
      <c r="R857" s="10"/>
      <c r="S857" s="10"/>
      <c r="T857" s="10"/>
      <c r="U857" s="10"/>
      <c r="V857" s="10"/>
      <c r="W857" s="10"/>
      <c r="X857" s="10"/>
      <c r="Y857" s="10"/>
    </row>
    <row r="858" spans="1:25" ht="16.5" customHeight="1" x14ac:dyDescent="0.2">
      <c r="A858" s="318" t="s">
        <v>672</v>
      </c>
      <c r="B858" s="319"/>
      <c r="C858" s="332"/>
      <c r="D858" s="148"/>
      <c r="E858" s="148"/>
      <c r="F858" s="148"/>
      <c r="G858" s="148">
        <v>1</v>
      </c>
      <c r="H858" s="148">
        <v>7</v>
      </c>
      <c r="I858" s="148"/>
      <c r="J858" s="170">
        <f t="shared" ref="J858:J872" si="39">PRODUCT(D858:H858)-I858</f>
        <v>7</v>
      </c>
      <c r="K858" s="10"/>
      <c r="L858" s="10"/>
      <c r="M858" s="10"/>
      <c r="N858" s="10"/>
      <c r="O858" s="10"/>
      <c r="P858" s="10"/>
      <c r="Q858" s="10"/>
      <c r="R858" s="10"/>
      <c r="S858" s="10"/>
      <c r="T858" s="10"/>
      <c r="U858" s="10"/>
      <c r="V858" s="10"/>
      <c r="W858" s="10"/>
      <c r="X858" s="10"/>
      <c r="Y858" s="10"/>
    </row>
    <row r="859" spans="1:25" ht="16.5" customHeight="1" x14ac:dyDescent="0.2">
      <c r="A859" s="318" t="s">
        <v>673</v>
      </c>
      <c r="B859" s="319"/>
      <c r="C859" s="332"/>
      <c r="D859" s="148"/>
      <c r="E859" s="148"/>
      <c r="F859" s="148"/>
      <c r="G859" s="148">
        <v>1</v>
      </c>
      <c r="H859" s="148">
        <v>7</v>
      </c>
      <c r="I859" s="148"/>
      <c r="J859" s="170">
        <f t="shared" si="39"/>
        <v>7</v>
      </c>
      <c r="K859" s="10"/>
      <c r="L859" s="10"/>
      <c r="M859" s="10"/>
      <c r="N859" s="10"/>
      <c r="O859" s="10"/>
      <c r="P859" s="10"/>
      <c r="Q859" s="10"/>
      <c r="R859" s="10"/>
      <c r="S859" s="10"/>
      <c r="T859" s="10"/>
      <c r="U859" s="10"/>
      <c r="V859" s="10"/>
      <c r="W859" s="10"/>
      <c r="X859" s="10"/>
      <c r="Y859" s="10"/>
    </row>
    <row r="860" spans="1:25" ht="16.5" customHeight="1" x14ac:dyDescent="0.2">
      <c r="A860" s="318" t="s">
        <v>766</v>
      </c>
      <c r="B860" s="319"/>
      <c r="C860" s="332"/>
      <c r="D860" s="148"/>
      <c r="E860" s="148"/>
      <c r="F860" s="148"/>
      <c r="G860" s="148">
        <v>1</v>
      </c>
      <c r="H860" s="148">
        <v>7</v>
      </c>
      <c r="I860" s="148"/>
      <c r="J860" s="170">
        <f t="shared" si="39"/>
        <v>7</v>
      </c>
      <c r="K860" s="10"/>
      <c r="L860" s="10"/>
      <c r="M860" s="10"/>
      <c r="N860" s="10"/>
      <c r="O860" s="10"/>
      <c r="P860" s="10"/>
      <c r="Q860" s="10"/>
      <c r="R860" s="10"/>
      <c r="S860" s="10"/>
      <c r="T860" s="10"/>
      <c r="U860" s="10"/>
      <c r="V860" s="10"/>
      <c r="W860" s="10"/>
      <c r="X860" s="10"/>
      <c r="Y860" s="10"/>
    </row>
    <row r="861" spans="1:25" ht="16.5" customHeight="1" x14ac:dyDescent="0.2">
      <c r="A861" s="318" t="s">
        <v>794</v>
      </c>
      <c r="B861" s="319"/>
      <c r="C861" s="332"/>
      <c r="D861" s="148"/>
      <c r="E861" s="148"/>
      <c r="F861" s="148"/>
      <c r="G861" s="148">
        <v>1</v>
      </c>
      <c r="H861" s="148">
        <v>7</v>
      </c>
      <c r="I861" s="148"/>
      <c r="J861" s="170">
        <f t="shared" si="39"/>
        <v>7</v>
      </c>
      <c r="K861" s="10"/>
      <c r="L861" s="10"/>
      <c r="M861" s="10"/>
      <c r="N861" s="10"/>
      <c r="O861" s="10"/>
      <c r="P861" s="10"/>
      <c r="Q861" s="10"/>
      <c r="R861" s="10"/>
      <c r="S861" s="10"/>
      <c r="T861" s="10"/>
      <c r="U861" s="10"/>
      <c r="V861" s="10"/>
      <c r="W861" s="10"/>
      <c r="X861" s="10"/>
      <c r="Y861" s="10"/>
    </row>
    <row r="862" spans="1:25" ht="16.5" customHeight="1" x14ac:dyDescent="0.2">
      <c r="A862" s="318" t="s">
        <v>795</v>
      </c>
      <c r="B862" s="319"/>
      <c r="C862" s="332"/>
      <c r="D862" s="148"/>
      <c r="E862" s="148"/>
      <c r="F862" s="148"/>
      <c r="G862" s="148">
        <v>1</v>
      </c>
      <c r="H862" s="148">
        <v>7</v>
      </c>
      <c r="I862" s="148"/>
      <c r="J862" s="170">
        <f t="shared" si="39"/>
        <v>7</v>
      </c>
      <c r="K862" s="10"/>
      <c r="L862" s="10"/>
      <c r="M862" s="10"/>
      <c r="N862" s="10"/>
      <c r="O862" s="10"/>
      <c r="P862" s="10"/>
      <c r="Q862" s="10"/>
      <c r="R862" s="10"/>
      <c r="S862" s="10"/>
      <c r="T862" s="10"/>
      <c r="U862" s="10"/>
      <c r="V862" s="10"/>
      <c r="W862" s="10"/>
      <c r="X862" s="10"/>
      <c r="Y862" s="10"/>
    </row>
    <row r="863" spans="1:25" ht="16.5" customHeight="1" x14ac:dyDescent="0.2">
      <c r="A863" s="318" t="s">
        <v>796</v>
      </c>
      <c r="B863" s="319"/>
      <c r="C863" s="332"/>
      <c r="D863" s="148"/>
      <c r="E863" s="148"/>
      <c r="F863" s="148"/>
      <c r="G863" s="148">
        <v>1</v>
      </c>
      <c r="H863" s="148">
        <v>7</v>
      </c>
      <c r="I863" s="148"/>
      <c r="J863" s="170">
        <f t="shared" si="39"/>
        <v>7</v>
      </c>
      <c r="K863" s="10"/>
      <c r="L863" s="10"/>
      <c r="M863" s="10"/>
      <c r="N863" s="10"/>
      <c r="O863" s="10"/>
      <c r="P863" s="10"/>
      <c r="Q863" s="10"/>
      <c r="R863" s="10"/>
      <c r="S863" s="10"/>
      <c r="T863" s="10"/>
      <c r="U863" s="10"/>
      <c r="V863" s="10"/>
      <c r="W863" s="10"/>
      <c r="X863" s="10"/>
      <c r="Y863" s="10"/>
    </row>
    <row r="864" spans="1:25" ht="16.5" customHeight="1" x14ac:dyDescent="0.2">
      <c r="A864" s="318" t="s">
        <v>797</v>
      </c>
      <c r="B864" s="319"/>
      <c r="C864" s="332"/>
      <c r="D864" s="148"/>
      <c r="E864" s="148"/>
      <c r="F864" s="148"/>
      <c r="G864" s="148">
        <v>1</v>
      </c>
      <c r="H864" s="148">
        <v>7</v>
      </c>
      <c r="I864" s="148"/>
      <c r="J864" s="170">
        <f t="shared" si="39"/>
        <v>7</v>
      </c>
      <c r="K864" s="10"/>
      <c r="L864" s="10"/>
      <c r="M864" s="10"/>
      <c r="N864" s="10"/>
      <c r="O864" s="10"/>
      <c r="P864" s="10"/>
      <c r="Q864" s="10"/>
      <c r="R864" s="10"/>
      <c r="S864" s="10"/>
      <c r="T864" s="10"/>
      <c r="U864" s="10"/>
      <c r="V864" s="10"/>
      <c r="W864" s="10"/>
      <c r="X864" s="10"/>
      <c r="Y864" s="10"/>
    </row>
    <row r="865" spans="1:25" ht="16.5" customHeight="1" x14ac:dyDescent="0.2">
      <c r="A865" s="318" t="s">
        <v>798</v>
      </c>
      <c r="B865" s="319"/>
      <c r="C865" s="332"/>
      <c r="D865" s="148"/>
      <c r="E865" s="148"/>
      <c r="F865" s="148"/>
      <c r="G865" s="148">
        <v>1</v>
      </c>
      <c r="H865" s="148">
        <v>7</v>
      </c>
      <c r="I865" s="148"/>
      <c r="J865" s="170">
        <f t="shared" si="39"/>
        <v>7</v>
      </c>
      <c r="K865" s="10"/>
      <c r="L865" s="10"/>
      <c r="M865" s="10"/>
      <c r="N865" s="10"/>
      <c r="O865" s="10"/>
      <c r="P865" s="10"/>
      <c r="Q865" s="10"/>
      <c r="R865" s="10"/>
      <c r="S865" s="10"/>
      <c r="T865" s="10"/>
      <c r="U865" s="10"/>
      <c r="V865" s="10"/>
      <c r="W865" s="10"/>
      <c r="X865" s="10"/>
      <c r="Y865" s="10"/>
    </row>
    <row r="866" spans="1:25" ht="16.5" customHeight="1" x14ac:dyDescent="0.2">
      <c r="A866" s="318" t="s">
        <v>799</v>
      </c>
      <c r="B866" s="319"/>
      <c r="C866" s="332"/>
      <c r="D866" s="148"/>
      <c r="E866" s="148"/>
      <c r="F866" s="148"/>
      <c r="G866" s="148">
        <v>1</v>
      </c>
      <c r="H866" s="148">
        <v>7</v>
      </c>
      <c r="I866" s="148"/>
      <c r="J866" s="170">
        <f t="shared" si="39"/>
        <v>7</v>
      </c>
      <c r="K866" s="10"/>
      <c r="L866" s="10"/>
      <c r="M866" s="10"/>
      <c r="N866" s="10"/>
      <c r="O866" s="10"/>
      <c r="P866" s="10"/>
      <c r="Q866" s="10"/>
      <c r="R866" s="10"/>
      <c r="S866" s="10"/>
      <c r="T866" s="10"/>
      <c r="U866" s="10"/>
      <c r="V866" s="10"/>
      <c r="W866" s="10"/>
      <c r="X866" s="10"/>
      <c r="Y866" s="10"/>
    </row>
    <row r="867" spans="1:25" ht="16.5" customHeight="1" x14ac:dyDescent="0.2">
      <c r="A867" s="318" t="s">
        <v>681</v>
      </c>
      <c r="B867" s="319"/>
      <c r="C867" s="332"/>
      <c r="D867" s="148"/>
      <c r="E867" s="148"/>
      <c r="F867" s="148"/>
      <c r="G867" s="148">
        <v>1</v>
      </c>
      <c r="H867" s="148">
        <v>7</v>
      </c>
      <c r="I867" s="148"/>
      <c r="J867" s="170">
        <f t="shared" si="39"/>
        <v>7</v>
      </c>
      <c r="K867" s="10"/>
      <c r="L867" s="10"/>
      <c r="M867" s="10"/>
      <c r="N867" s="10"/>
      <c r="O867" s="10"/>
      <c r="P867" s="10"/>
      <c r="Q867" s="10"/>
      <c r="R867" s="10"/>
      <c r="S867" s="10"/>
      <c r="T867" s="10"/>
      <c r="U867" s="10"/>
      <c r="V867" s="10"/>
      <c r="W867" s="10"/>
      <c r="X867" s="10"/>
      <c r="Y867" s="10"/>
    </row>
    <row r="868" spans="1:25" ht="16.5" customHeight="1" x14ac:dyDescent="0.2">
      <c r="A868" s="318" t="s">
        <v>800</v>
      </c>
      <c r="B868" s="319"/>
      <c r="C868" s="332"/>
      <c r="D868" s="148"/>
      <c r="E868" s="148"/>
      <c r="F868" s="148"/>
      <c r="G868" s="148">
        <v>1</v>
      </c>
      <c r="H868" s="148">
        <v>7</v>
      </c>
      <c r="I868" s="148"/>
      <c r="J868" s="170">
        <f t="shared" si="39"/>
        <v>7</v>
      </c>
      <c r="K868" s="10"/>
      <c r="L868" s="10"/>
      <c r="M868" s="10"/>
      <c r="N868" s="10"/>
      <c r="O868" s="10"/>
      <c r="P868" s="10"/>
      <c r="Q868" s="10"/>
      <c r="R868" s="10"/>
      <c r="S868" s="10"/>
      <c r="T868" s="10"/>
      <c r="U868" s="10"/>
      <c r="V868" s="10"/>
      <c r="W868" s="10"/>
      <c r="X868" s="10"/>
      <c r="Y868" s="10"/>
    </row>
    <row r="869" spans="1:25" ht="16.5" customHeight="1" x14ac:dyDescent="0.2">
      <c r="A869" s="318" t="s">
        <v>801</v>
      </c>
      <c r="B869" s="319"/>
      <c r="C869" s="332"/>
      <c r="D869" s="148"/>
      <c r="E869" s="148"/>
      <c r="F869" s="148"/>
      <c r="G869" s="148">
        <v>1</v>
      </c>
      <c r="H869" s="148">
        <v>7</v>
      </c>
      <c r="I869" s="148"/>
      <c r="J869" s="170">
        <f t="shared" si="39"/>
        <v>7</v>
      </c>
      <c r="K869" s="10"/>
      <c r="L869" s="10"/>
      <c r="M869" s="10"/>
      <c r="N869" s="10"/>
      <c r="O869" s="10"/>
      <c r="P869" s="10"/>
      <c r="Q869" s="10"/>
      <c r="R869" s="10"/>
      <c r="S869" s="10"/>
      <c r="T869" s="10"/>
      <c r="U869" s="10"/>
      <c r="V869" s="10"/>
      <c r="W869" s="10"/>
      <c r="X869" s="10"/>
      <c r="Y869" s="10"/>
    </row>
    <row r="870" spans="1:25" ht="16.5" customHeight="1" x14ac:dyDescent="0.2">
      <c r="A870" s="318" t="s">
        <v>802</v>
      </c>
      <c r="B870" s="319"/>
      <c r="C870" s="332"/>
      <c r="D870" s="148"/>
      <c r="E870" s="148"/>
      <c r="F870" s="148"/>
      <c r="G870" s="148">
        <v>1</v>
      </c>
      <c r="H870" s="148">
        <v>7</v>
      </c>
      <c r="I870" s="148"/>
      <c r="J870" s="170">
        <f t="shared" si="39"/>
        <v>7</v>
      </c>
      <c r="K870" s="10"/>
      <c r="L870" s="10"/>
      <c r="M870" s="10"/>
      <c r="N870" s="10"/>
      <c r="O870" s="10"/>
      <c r="P870" s="10"/>
      <c r="Q870" s="10"/>
      <c r="R870" s="10"/>
      <c r="S870" s="10"/>
      <c r="T870" s="10"/>
      <c r="U870" s="10"/>
      <c r="V870" s="10"/>
      <c r="W870" s="10"/>
      <c r="X870" s="10"/>
      <c r="Y870" s="10"/>
    </row>
    <row r="871" spans="1:25" ht="16.5" customHeight="1" x14ac:dyDescent="0.2">
      <c r="A871" s="318" t="s">
        <v>803</v>
      </c>
      <c r="B871" s="319"/>
      <c r="C871" s="332"/>
      <c r="D871" s="148"/>
      <c r="E871" s="148"/>
      <c r="F871" s="148"/>
      <c r="G871" s="148">
        <v>1</v>
      </c>
      <c r="H871" s="148">
        <v>7</v>
      </c>
      <c r="I871" s="148"/>
      <c r="J871" s="170">
        <f t="shared" si="39"/>
        <v>7</v>
      </c>
      <c r="K871" s="10"/>
      <c r="L871" s="10"/>
      <c r="M871" s="10"/>
      <c r="N871" s="10"/>
      <c r="O871" s="10"/>
      <c r="P871" s="10"/>
      <c r="Q871" s="10"/>
      <c r="R871" s="10"/>
      <c r="S871" s="10"/>
      <c r="T871" s="10"/>
      <c r="U871" s="10"/>
      <c r="V871" s="10"/>
      <c r="W871" s="10"/>
      <c r="X871" s="10"/>
      <c r="Y871" s="10"/>
    </row>
    <row r="872" spans="1:25" ht="16.5" customHeight="1" x14ac:dyDescent="0.2">
      <c r="A872" s="318" t="s">
        <v>804</v>
      </c>
      <c r="B872" s="319"/>
      <c r="C872" s="332"/>
      <c r="D872" s="148"/>
      <c r="E872" s="148"/>
      <c r="F872" s="148"/>
      <c r="G872" s="148">
        <v>1</v>
      </c>
      <c r="H872" s="148">
        <v>7</v>
      </c>
      <c r="I872" s="148"/>
      <c r="J872" s="170">
        <f t="shared" si="39"/>
        <v>7</v>
      </c>
      <c r="K872" s="10"/>
      <c r="L872" s="10"/>
      <c r="M872" s="10"/>
      <c r="N872" s="10"/>
      <c r="O872" s="10"/>
      <c r="P872" s="10"/>
      <c r="Q872" s="10"/>
      <c r="R872" s="10"/>
      <c r="S872" s="10"/>
      <c r="T872" s="10"/>
      <c r="U872" s="10"/>
      <c r="V872" s="10"/>
      <c r="W872" s="10"/>
      <c r="X872" s="10"/>
      <c r="Y872" s="10"/>
    </row>
    <row r="873" spans="1:25" ht="16.5" customHeight="1" x14ac:dyDescent="0.2">
      <c r="A873" s="342" t="str">
        <f>"TOTAL - "&amp;'Planilha orçamentária'!F70</f>
        <v>TOTAL - UN</v>
      </c>
      <c r="B873" s="342"/>
      <c r="C873" s="342"/>
      <c r="D873" s="342"/>
      <c r="E873" s="342"/>
      <c r="F873" s="342"/>
      <c r="G873" s="342"/>
      <c r="H873" s="342"/>
      <c r="I873" s="342"/>
      <c r="J873" s="149">
        <f>SUM(J857:J872)</f>
        <v>112</v>
      </c>
      <c r="K873" s="10"/>
      <c r="L873" s="10"/>
      <c r="M873" s="10"/>
      <c r="N873" s="10"/>
      <c r="O873" s="10"/>
      <c r="P873" s="10"/>
      <c r="Q873" s="10"/>
      <c r="R873" s="10"/>
      <c r="S873" s="10"/>
      <c r="T873" s="10"/>
      <c r="U873" s="10"/>
      <c r="V873" s="10"/>
      <c r="W873" s="10"/>
      <c r="X873" s="10"/>
      <c r="Y873" s="10"/>
    </row>
    <row r="874" spans="1:25" ht="25.5" customHeight="1" x14ac:dyDescent="0.2">
      <c r="A874" s="184" t="str">
        <f>'Planilha orçamentária'!A71</f>
        <v>10.5</v>
      </c>
      <c r="B874" s="343" t="str">
        <f>'Planilha orçamentária'!D71</f>
        <v>Cuba em aço inoxidável de embutir, AISI 304, aplicação para pia (560x330x115mm), número 2, assentamento em bancada, inclusive válvula de escoamento de metal com acabamento cromado, sifão de metal tipo copo com acabamento cromado, fornecimento e instalação</v>
      </c>
      <c r="C874" s="344"/>
      <c r="D874" s="344"/>
      <c r="E874" s="344"/>
      <c r="F874" s="344"/>
      <c r="G874" s="344"/>
      <c r="H874" s="344"/>
      <c r="I874" s="344"/>
      <c r="J874" s="344"/>
      <c r="K874" s="10"/>
      <c r="L874" s="10"/>
      <c r="M874" s="10"/>
      <c r="N874" s="10"/>
      <c r="O874" s="10"/>
      <c r="P874" s="10"/>
      <c r="Q874" s="10"/>
      <c r="R874" s="10"/>
      <c r="S874" s="10"/>
      <c r="T874" s="10"/>
      <c r="U874" s="10"/>
      <c r="V874" s="10"/>
      <c r="W874" s="10"/>
      <c r="X874" s="10"/>
      <c r="Y874" s="10"/>
    </row>
    <row r="875" spans="1:25" ht="25.5" customHeight="1" x14ac:dyDescent="0.2">
      <c r="A875" s="327" t="s">
        <v>120</v>
      </c>
      <c r="B875" s="328"/>
      <c r="C875" s="328"/>
      <c r="D875" s="182" t="s">
        <v>121</v>
      </c>
      <c r="E875" s="182" t="s">
        <v>122</v>
      </c>
      <c r="F875" s="181" t="s">
        <v>123</v>
      </c>
      <c r="G875" s="181" t="s">
        <v>124</v>
      </c>
      <c r="H875" s="181" t="s">
        <v>489</v>
      </c>
      <c r="I875" s="182" t="s">
        <v>126</v>
      </c>
      <c r="J875" s="182" t="s">
        <v>113</v>
      </c>
      <c r="K875" s="10"/>
      <c r="L875" s="10"/>
      <c r="M875" s="10"/>
      <c r="N875" s="10"/>
      <c r="O875" s="10"/>
      <c r="P875" s="10"/>
      <c r="Q875" s="10"/>
      <c r="R875" s="10"/>
      <c r="S875" s="10"/>
      <c r="T875" s="10"/>
      <c r="U875" s="10"/>
      <c r="V875" s="10"/>
      <c r="W875" s="10"/>
      <c r="X875" s="10"/>
      <c r="Y875" s="10"/>
    </row>
    <row r="876" spans="1:25" ht="16.5" customHeight="1" x14ac:dyDescent="0.2">
      <c r="A876" s="318" t="s">
        <v>671</v>
      </c>
      <c r="B876" s="319"/>
      <c r="C876" s="332"/>
      <c r="D876" s="148"/>
      <c r="E876" s="148"/>
      <c r="F876" s="148"/>
      <c r="G876" s="148">
        <v>1</v>
      </c>
      <c r="H876" s="148">
        <v>7</v>
      </c>
      <c r="I876" s="148"/>
      <c r="J876" s="170">
        <f t="shared" ref="J876:J891" si="40">PRODUCT(D876:H876)-I876</f>
        <v>7</v>
      </c>
      <c r="K876" s="10"/>
      <c r="L876" s="10"/>
      <c r="M876" s="10"/>
      <c r="N876" s="10"/>
      <c r="O876" s="10"/>
      <c r="P876" s="10"/>
      <c r="Q876" s="10"/>
      <c r="R876" s="10"/>
      <c r="S876" s="10"/>
      <c r="T876" s="10"/>
      <c r="U876" s="10"/>
      <c r="V876" s="10"/>
      <c r="W876" s="10"/>
      <c r="X876" s="10"/>
      <c r="Y876" s="10"/>
    </row>
    <row r="877" spans="1:25" ht="16.5" customHeight="1" x14ac:dyDescent="0.2">
      <c r="A877" s="318" t="s">
        <v>672</v>
      </c>
      <c r="B877" s="319"/>
      <c r="C877" s="332"/>
      <c r="D877" s="148"/>
      <c r="E877" s="148"/>
      <c r="F877" s="148"/>
      <c r="G877" s="148">
        <v>1</v>
      </c>
      <c r="H877" s="148">
        <v>7</v>
      </c>
      <c r="I877" s="148"/>
      <c r="J877" s="170">
        <f t="shared" si="40"/>
        <v>7</v>
      </c>
      <c r="K877" s="10"/>
      <c r="L877" s="10"/>
      <c r="M877" s="10"/>
      <c r="N877" s="10"/>
      <c r="O877" s="10"/>
      <c r="P877" s="10"/>
      <c r="Q877" s="10"/>
      <c r="R877" s="10"/>
      <c r="S877" s="10"/>
      <c r="T877" s="10"/>
      <c r="U877" s="10"/>
      <c r="V877" s="10"/>
      <c r="W877" s="10"/>
      <c r="X877" s="10"/>
      <c r="Y877" s="10"/>
    </row>
    <row r="878" spans="1:25" ht="16.5" customHeight="1" x14ac:dyDescent="0.2">
      <c r="A878" s="318" t="s">
        <v>673</v>
      </c>
      <c r="B878" s="319"/>
      <c r="C878" s="332"/>
      <c r="D878" s="148"/>
      <c r="E878" s="148"/>
      <c r="F878" s="148"/>
      <c r="G878" s="148">
        <v>1</v>
      </c>
      <c r="H878" s="148">
        <v>7</v>
      </c>
      <c r="I878" s="148"/>
      <c r="J878" s="170">
        <f t="shared" si="40"/>
        <v>7</v>
      </c>
      <c r="K878" s="10"/>
      <c r="L878" s="10"/>
      <c r="M878" s="10"/>
      <c r="N878" s="10"/>
      <c r="O878" s="10"/>
      <c r="P878" s="10"/>
      <c r="Q878" s="10"/>
      <c r="R878" s="10"/>
      <c r="S878" s="10"/>
      <c r="T878" s="10"/>
      <c r="U878" s="10"/>
      <c r="V878" s="10"/>
      <c r="W878" s="10"/>
      <c r="X878" s="10"/>
      <c r="Y878" s="10"/>
    </row>
    <row r="879" spans="1:25" ht="16.5" customHeight="1" x14ac:dyDescent="0.2">
      <c r="A879" s="318" t="s">
        <v>766</v>
      </c>
      <c r="B879" s="319"/>
      <c r="C879" s="332"/>
      <c r="D879" s="148"/>
      <c r="E879" s="148"/>
      <c r="F879" s="148"/>
      <c r="G879" s="148">
        <v>1</v>
      </c>
      <c r="H879" s="148">
        <v>7</v>
      </c>
      <c r="I879" s="148"/>
      <c r="J879" s="170">
        <f t="shared" si="40"/>
        <v>7</v>
      </c>
      <c r="K879" s="10"/>
      <c r="L879" s="10"/>
      <c r="M879" s="10"/>
      <c r="N879" s="10"/>
      <c r="O879" s="10"/>
      <c r="P879" s="10"/>
      <c r="Q879" s="10"/>
      <c r="R879" s="10"/>
      <c r="S879" s="10"/>
      <c r="T879" s="10"/>
      <c r="U879" s="10"/>
      <c r="V879" s="10"/>
      <c r="W879" s="10"/>
      <c r="X879" s="10"/>
      <c r="Y879" s="10"/>
    </row>
    <row r="880" spans="1:25" ht="16.5" customHeight="1" x14ac:dyDescent="0.2">
      <c r="A880" s="318" t="s">
        <v>794</v>
      </c>
      <c r="B880" s="319"/>
      <c r="C880" s="332"/>
      <c r="D880" s="148"/>
      <c r="E880" s="148"/>
      <c r="F880" s="148"/>
      <c r="G880" s="148">
        <v>1</v>
      </c>
      <c r="H880" s="148">
        <v>7</v>
      </c>
      <c r="I880" s="148"/>
      <c r="J880" s="170">
        <f t="shared" si="40"/>
        <v>7</v>
      </c>
      <c r="K880" s="10"/>
      <c r="L880" s="10"/>
      <c r="M880" s="10"/>
      <c r="N880" s="10"/>
      <c r="O880" s="10"/>
      <c r="P880" s="10"/>
      <c r="Q880" s="10"/>
      <c r="R880" s="10"/>
      <c r="S880" s="10"/>
      <c r="T880" s="10"/>
      <c r="U880" s="10"/>
      <c r="V880" s="10"/>
      <c r="W880" s="10"/>
      <c r="X880" s="10"/>
      <c r="Y880" s="10"/>
    </row>
    <row r="881" spans="1:25" ht="16.5" customHeight="1" x14ac:dyDescent="0.2">
      <c r="A881" s="318" t="s">
        <v>795</v>
      </c>
      <c r="B881" s="319"/>
      <c r="C881" s="332"/>
      <c r="D881" s="148"/>
      <c r="E881" s="148"/>
      <c r="F881" s="148"/>
      <c r="G881" s="148">
        <v>1</v>
      </c>
      <c r="H881" s="148">
        <v>7</v>
      </c>
      <c r="I881" s="148"/>
      <c r="J881" s="170">
        <f t="shared" si="40"/>
        <v>7</v>
      </c>
      <c r="K881" s="10"/>
      <c r="L881" s="10"/>
      <c r="M881" s="10"/>
      <c r="N881" s="10"/>
      <c r="O881" s="10"/>
      <c r="P881" s="10"/>
      <c r="Q881" s="10"/>
      <c r="R881" s="10"/>
      <c r="S881" s="10"/>
      <c r="T881" s="10"/>
      <c r="U881" s="10"/>
      <c r="V881" s="10"/>
      <c r="W881" s="10"/>
      <c r="X881" s="10"/>
      <c r="Y881" s="10"/>
    </row>
    <row r="882" spans="1:25" ht="16.5" customHeight="1" x14ac:dyDescent="0.2">
      <c r="A882" s="318" t="s">
        <v>796</v>
      </c>
      <c r="B882" s="319"/>
      <c r="C882" s="332"/>
      <c r="D882" s="148"/>
      <c r="E882" s="148"/>
      <c r="F882" s="148"/>
      <c r="G882" s="148">
        <v>1</v>
      </c>
      <c r="H882" s="148">
        <v>7</v>
      </c>
      <c r="I882" s="148"/>
      <c r="J882" s="170">
        <f t="shared" si="40"/>
        <v>7</v>
      </c>
      <c r="K882" s="10"/>
      <c r="L882" s="10"/>
      <c r="M882" s="10"/>
      <c r="N882" s="10"/>
      <c r="O882" s="10"/>
      <c r="P882" s="10"/>
      <c r="Q882" s="10"/>
      <c r="R882" s="10"/>
      <c r="S882" s="10"/>
      <c r="T882" s="10"/>
      <c r="U882" s="10"/>
      <c r="V882" s="10"/>
      <c r="W882" s="10"/>
      <c r="X882" s="10"/>
      <c r="Y882" s="10"/>
    </row>
    <row r="883" spans="1:25" ht="16.5" customHeight="1" x14ac:dyDescent="0.2">
      <c r="A883" s="318" t="s">
        <v>797</v>
      </c>
      <c r="B883" s="319"/>
      <c r="C883" s="332"/>
      <c r="D883" s="148"/>
      <c r="E883" s="148"/>
      <c r="F883" s="148"/>
      <c r="G883" s="148">
        <v>1</v>
      </c>
      <c r="H883" s="148">
        <v>7</v>
      </c>
      <c r="I883" s="148"/>
      <c r="J883" s="170">
        <f t="shared" si="40"/>
        <v>7</v>
      </c>
      <c r="K883" s="10"/>
      <c r="L883" s="10"/>
      <c r="M883" s="10"/>
      <c r="N883" s="10"/>
      <c r="O883" s="10"/>
      <c r="P883" s="10"/>
      <c r="Q883" s="10"/>
      <c r="R883" s="10"/>
      <c r="S883" s="10"/>
      <c r="T883" s="10"/>
      <c r="U883" s="10"/>
      <c r="V883" s="10"/>
      <c r="W883" s="10"/>
      <c r="X883" s="10"/>
      <c r="Y883" s="10"/>
    </row>
    <row r="884" spans="1:25" ht="16.5" customHeight="1" x14ac:dyDescent="0.2">
      <c r="A884" s="318" t="s">
        <v>798</v>
      </c>
      <c r="B884" s="319"/>
      <c r="C884" s="332"/>
      <c r="D884" s="148"/>
      <c r="E884" s="148"/>
      <c r="F884" s="148"/>
      <c r="G884" s="148">
        <v>1</v>
      </c>
      <c r="H884" s="148">
        <v>7</v>
      </c>
      <c r="I884" s="148"/>
      <c r="J884" s="170">
        <f t="shared" si="40"/>
        <v>7</v>
      </c>
      <c r="K884" s="10"/>
      <c r="L884" s="10"/>
      <c r="M884" s="10"/>
      <c r="N884" s="10"/>
      <c r="O884" s="10"/>
      <c r="P884" s="10"/>
      <c r="Q884" s="10"/>
      <c r="R884" s="10"/>
      <c r="S884" s="10"/>
      <c r="T884" s="10"/>
      <c r="U884" s="10"/>
      <c r="V884" s="10"/>
      <c r="W884" s="10"/>
      <c r="X884" s="10"/>
      <c r="Y884" s="10"/>
    </row>
    <row r="885" spans="1:25" ht="16.5" customHeight="1" x14ac:dyDescent="0.2">
      <c r="A885" s="318" t="s">
        <v>799</v>
      </c>
      <c r="B885" s="319"/>
      <c r="C885" s="332"/>
      <c r="D885" s="148"/>
      <c r="E885" s="148"/>
      <c r="F885" s="148"/>
      <c r="G885" s="148">
        <v>1</v>
      </c>
      <c r="H885" s="148">
        <v>7</v>
      </c>
      <c r="I885" s="148"/>
      <c r="J885" s="170">
        <f t="shared" si="40"/>
        <v>7</v>
      </c>
      <c r="K885" s="10"/>
      <c r="L885" s="10"/>
      <c r="M885" s="10"/>
      <c r="N885" s="10"/>
      <c r="O885" s="10"/>
      <c r="P885" s="10"/>
      <c r="Q885" s="10"/>
      <c r="R885" s="10"/>
      <c r="S885" s="10"/>
      <c r="T885" s="10"/>
      <c r="U885" s="10"/>
      <c r="V885" s="10"/>
      <c r="W885" s="10"/>
      <c r="X885" s="10"/>
      <c r="Y885" s="10"/>
    </row>
    <row r="886" spans="1:25" ht="16.5" customHeight="1" x14ac:dyDescent="0.2">
      <c r="A886" s="318" t="s">
        <v>681</v>
      </c>
      <c r="B886" s="319"/>
      <c r="C886" s="332"/>
      <c r="D886" s="148"/>
      <c r="E886" s="148"/>
      <c r="F886" s="148"/>
      <c r="G886" s="148">
        <v>1</v>
      </c>
      <c r="H886" s="148">
        <v>7</v>
      </c>
      <c r="I886" s="148"/>
      <c r="J886" s="170">
        <f t="shared" si="40"/>
        <v>7</v>
      </c>
      <c r="K886" s="10"/>
      <c r="L886" s="10"/>
      <c r="M886" s="10"/>
      <c r="N886" s="10"/>
      <c r="O886" s="10"/>
      <c r="P886" s="10"/>
      <c r="Q886" s="10"/>
      <c r="R886" s="10"/>
      <c r="S886" s="10"/>
      <c r="T886" s="10"/>
      <c r="U886" s="10"/>
      <c r="V886" s="10"/>
      <c r="W886" s="10"/>
      <c r="X886" s="10"/>
      <c r="Y886" s="10"/>
    </row>
    <row r="887" spans="1:25" ht="16.5" customHeight="1" x14ac:dyDescent="0.2">
      <c r="A887" s="318" t="s">
        <v>800</v>
      </c>
      <c r="B887" s="319"/>
      <c r="C887" s="332"/>
      <c r="D887" s="148"/>
      <c r="E887" s="148"/>
      <c r="F887" s="148"/>
      <c r="G887" s="148">
        <v>1</v>
      </c>
      <c r="H887" s="148">
        <v>7</v>
      </c>
      <c r="I887" s="148"/>
      <c r="J887" s="170">
        <f t="shared" si="40"/>
        <v>7</v>
      </c>
      <c r="K887" s="10"/>
      <c r="L887" s="10"/>
      <c r="M887" s="10"/>
      <c r="N887" s="10"/>
      <c r="O887" s="10"/>
      <c r="P887" s="10"/>
      <c r="Q887" s="10"/>
      <c r="R887" s="10"/>
      <c r="S887" s="10"/>
      <c r="T887" s="10"/>
      <c r="U887" s="10"/>
      <c r="V887" s="10"/>
      <c r="W887" s="10"/>
      <c r="X887" s="10"/>
      <c r="Y887" s="10"/>
    </row>
    <row r="888" spans="1:25" ht="16.5" customHeight="1" x14ac:dyDescent="0.2">
      <c r="A888" s="318" t="s">
        <v>801</v>
      </c>
      <c r="B888" s="319"/>
      <c r="C888" s="332"/>
      <c r="D888" s="148"/>
      <c r="E888" s="148"/>
      <c r="F888" s="148"/>
      <c r="G888" s="148">
        <v>1</v>
      </c>
      <c r="H888" s="148">
        <v>7</v>
      </c>
      <c r="I888" s="148"/>
      <c r="J888" s="170">
        <f t="shared" si="40"/>
        <v>7</v>
      </c>
      <c r="K888" s="10"/>
      <c r="L888" s="10"/>
      <c r="M888" s="10"/>
      <c r="N888" s="10"/>
      <c r="O888" s="10"/>
      <c r="P888" s="10"/>
      <c r="Q888" s="10"/>
      <c r="R888" s="10"/>
      <c r="S888" s="10"/>
      <c r="T888" s="10"/>
      <c r="U888" s="10"/>
      <c r="V888" s="10"/>
      <c r="W888" s="10"/>
      <c r="X888" s="10"/>
      <c r="Y888" s="10"/>
    </row>
    <row r="889" spans="1:25" ht="16.5" customHeight="1" x14ac:dyDescent="0.2">
      <c r="A889" s="318" t="s">
        <v>802</v>
      </c>
      <c r="B889" s="319"/>
      <c r="C889" s="332"/>
      <c r="D889" s="148"/>
      <c r="E889" s="148"/>
      <c r="F889" s="148"/>
      <c r="G889" s="148">
        <v>1</v>
      </c>
      <c r="H889" s="148">
        <v>7</v>
      </c>
      <c r="I889" s="148"/>
      <c r="J889" s="170">
        <f t="shared" si="40"/>
        <v>7</v>
      </c>
      <c r="K889" s="10"/>
      <c r="L889" s="10"/>
      <c r="M889" s="10"/>
      <c r="N889" s="10"/>
      <c r="O889" s="10"/>
      <c r="P889" s="10"/>
      <c r="Q889" s="10"/>
      <c r="R889" s="10"/>
      <c r="S889" s="10"/>
      <c r="T889" s="10"/>
      <c r="U889" s="10"/>
      <c r="V889" s="10"/>
      <c r="W889" s="10"/>
      <c r="X889" s="10"/>
      <c r="Y889" s="10"/>
    </row>
    <row r="890" spans="1:25" ht="16.5" customHeight="1" x14ac:dyDescent="0.2">
      <c r="A890" s="318" t="s">
        <v>803</v>
      </c>
      <c r="B890" s="319"/>
      <c r="C890" s="332"/>
      <c r="D890" s="148"/>
      <c r="E890" s="148"/>
      <c r="F890" s="148"/>
      <c r="G890" s="148">
        <v>1</v>
      </c>
      <c r="H890" s="148">
        <v>7</v>
      </c>
      <c r="I890" s="148"/>
      <c r="J890" s="170">
        <f t="shared" si="40"/>
        <v>7</v>
      </c>
      <c r="K890" s="10"/>
      <c r="L890" s="10"/>
      <c r="M890" s="10"/>
      <c r="N890" s="10"/>
      <c r="O890" s="10"/>
      <c r="P890" s="10"/>
      <c r="Q890" s="10"/>
      <c r="R890" s="10"/>
      <c r="S890" s="10"/>
      <c r="T890" s="10"/>
      <c r="U890" s="10"/>
      <c r="V890" s="10"/>
      <c r="W890" s="10"/>
      <c r="X890" s="10"/>
      <c r="Y890" s="10"/>
    </row>
    <row r="891" spans="1:25" ht="16.5" customHeight="1" x14ac:dyDescent="0.2">
      <c r="A891" s="318" t="s">
        <v>804</v>
      </c>
      <c r="B891" s="319"/>
      <c r="C891" s="332"/>
      <c r="D891" s="148"/>
      <c r="E891" s="148"/>
      <c r="F891" s="148"/>
      <c r="G891" s="148">
        <v>1</v>
      </c>
      <c r="H891" s="148">
        <v>7</v>
      </c>
      <c r="I891" s="148"/>
      <c r="J891" s="170">
        <f t="shared" si="40"/>
        <v>7</v>
      </c>
      <c r="K891" s="10"/>
      <c r="L891" s="10"/>
      <c r="M891" s="10"/>
      <c r="N891" s="10"/>
      <c r="O891" s="10"/>
      <c r="P891" s="10"/>
      <c r="Q891" s="10"/>
      <c r="R891" s="10"/>
      <c r="S891" s="10"/>
      <c r="T891" s="10"/>
      <c r="U891" s="10"/>
      <c r="V891" s="10"/>
      <c r="W891" s="10"/>
      <c r="X891" s="10"/>
      <c r="Y891" s="10"/>
    </row>
    <row r="892" spans="1:25" ht="16.5" customHeight="1" x14ac:dyDescent="0.2">
      <c r="A892" s="342" t="str">
        <f>"TOTAL - "&amp;'Planilha orçamentária'!F71</f>
        <v>TOTAL - UN</v>
      </c>
      <c r="B892" s="342"/>
      <c r="C892" s="342"/>
      <c r="D892" s="342"/>
      <c r="E892" s="342"/>
      <c r="F892" s="342"/>
      <c r="G892" s="342"/>
      <c r="H892" s="342"/>
      <c r="I892" s="342"/>
      <c r="J892" s="149">
        <f>SUM(J876:J891)</f>
        <v>112</v>
      </c>
      <c r="K892" s="10"/>
      <c r="L892" s="10"/>
      <c r="M892" s="10"/>
      <c r="N892" s="10"/>
      <c r="O892" s="10"/>
      <c r="P892" s="10"/>
      <c r="Q892" s="10"/>
      <c r="R892" s="10"/>
      <c r="S892" s="10"/>
      <c r="T892" s="10"/>
      <c r="U892" s="10"/>
      <c r="V892" s="10"/>
      <c r="W892" s="10"/>
      <c r="X892" s="10"/>
      <c r="Y892" s="10"/>
    </row>
    <row r="893" spans="1:25" ht="25.5" customHeight="1" x14ac:dyDescent="0.2">
      <c r="A893" s="184" t="str">
        <f>'Planilha orçamentária'!A72</f>
        <v>10.6</v>
      </c>
      <c r="B893" s="343" t="str">
        <f>'Planilha orçamentária'!D72</f>
        <v>Tanque de louça branca com coluna, capacidade 22 litros, inclusive acessórios de fixação, válvula de escoamento de metal com acabamento cromado, sifão de metal tipo copo com acabamento cromado, fornecimento, instalação e rejuntamento, exclusive torneira</v>
      </c>
      <c r="C893" s="344"/>
      <c r="D893" s="344"/>
      <c r="E893" s="344"/>
      <c r="F893" s="344"/>
      <c r="G893" s="344"/>
      <c r="H893" s="344"/>
      <c r="I893" s="344"/>
      <c r="J893" s="344"/>
      <c r="K893" s="10"/>
      <c r="L893" s="10"/>
      <c r="M893" s="10"/>
      <c r="N893" s="10"/>
      <c r="O893" s="10"/>
      <c r="P893" s="10"/>
      <c r="Q893" s="10"/>
      <c r="R893" s="10"/>
      <c r="S893" s="10"/>
      <c r="T893" s="10"/>
      <c r="U893" s="10"/>
      <c r="V893" s="10"/>
      <c r="W893" s="10"/>
      <c r="X893" s="10"/>
      <c r="Y893" s="10"/>
    </row>
    <row r="894" spans="1:25" ht="25.5" customHeight="1" x14ac:dyDescent="0.2">
      <c r="A894" s="327" t="s">
        <v>120</v>
      </c>
      <c r="B894" s="328"/>
      <c r="C894" s="328"/>
      <c r="D894" s="182" t="s">
        <v>121</v>
      </c>
      <c r="E894" s="182" t="s">
        <v>122</v>
      </c>
      <c r="F894" s="181" t="s">
        <v>123</v>
      </c>
      <c r="G894" s="181" t="s">
        <v>124</v>
      </c>
      <c r="H894" s="181" t="s">
        <v>489</v>
      </c>
      <c r="I894" s="182" t="s">
        <v>126</v>
      </c>
      <c r="J894" s="182" t="s">
        <v>113</v>
      </c>
      <c r="K894" s="10"/>
      <c r="L894" s="10"/>
      <c r="M894" s="10"/>
      <c r="N894" s="10"/>
      <c r="O894" s="10"/>
      <c r="P894" s="10"/>
      <c r="Q894" s="10"/>
      <c r="R894" s="10"/>
      <c r="S894" s="10"/>
      <c r="T894" s="10"/>
      <c r="U894" s="10"/>
      <c r="V894" s="10"/>
      <c r="W894" s="10"/>
      <c r="X894" s="10"/>
      <c r="Y894" s="10"/>
    </row>
    <row r="895" spans="1:25" ht="16.5" customHeight="1" x14ac:dyDescent="0.2">
      <c r="A895" s="318" t="s">
        <v>671</v>
      </c>
      <c r="B895" s="319"/>
      <c r="C895" s="332"/>
      <c r="D895" s="148"/>
      <c r="E895" s="148"/>
      <c r="F895" s="148"/>
      <c r="G895" s="148">
        <v>1</v>
      </c>
      <c r="H895" s="148">
        <v>7</v>
      </c>
      <c r="I895" s="148"/>
      <c r="J895" s="170">
        <f t="shared" ref="J895:J910" si="41">PRODUCT(D895:H895)-I895</f>
        <v>7</v>
      </c>
      <c r="K895" s="10"/>
      <c r="L895" s="10"/>
      <c r="M895" s="10"/>
      <c r="N895" s="10"/>
      <c r="O895" s="10"/>
      <c r="P895" s="10"/>
      <c r="Q895" s="10"/>
      <c r="R895" s="10"/>
      <c r="S895" s="10"/>
      <c r="T895" s="10"/>
      <c r="U895" s="10"/>
      <c r="V895" s="10"/>
      <c r="W895" s="10"/>
      <c r="X895" s="10"/>
      <c r="Y895" s="10"/>
    </row>
    <row r="896" spans="1:25" ht="16.5" customHeight="1" x14ac:dyDescent="0.2">
      <c r="A896" s="318" t="s">
        <v>672</v>
      </c>
      <c r="B896" s="319"/>
      <c r="C896" s="332"/>
      <c r="D896" s="148"/>
      <c r="E896" s="148"/>
      <c r="F896" s="148"/>
      <c r="G896" s="148">
        <v>1</v>
      </c>
      <c r="H896" s="148">
        <v>7</v>
      </c>
      <c r="I896" s="148"/>
      <c r="J896" s="170">
        <f t="shared" si="41"/>
        <v>7</v>
      </c>
      <c r="K896" s="10"/>
      <c r="L896" s="10"/>
      <c r="M896" s="10"/>
      <c r="N896" s="10"/>
      <c r="O896" s="10"/>
      <c r="P896" s="10"/>
      <c r="Q896" s="10"/>
      <c r="R896" s="10"/>
      <c r="S896" s="10"/>
      <c r="T896" s="10"/>
      <c r="U896" s="10"/>
      <c r="V896" s="10"/>
      <c r="W896" s="10"/>
      <c r="X896" s="10"/>
      <c r="Y896" s="10"/>
    </row>
    <row r="897" spans="1:25" ht="16.5" customHeight="1" x14ac:dyDescent="0.2">
      <c r="A897" s="318" t="s">
        <v>673</v>
      </c>
      <c r="B897" s="319"/>
      <c r="C897" s="332"/>
      <c r="D897" s="148"/>
      <c r="E897" s="148"/>
      <c r="F897" s="148"/>
      <c r="G897" s="148">
        <v>1</v>
      </c>
      <c r="H897" s="148">
        <v>7</v>
      </c>
      <c r="I897" s="148"/>
      <c r="J897" s="170">
        <f t="shared" si="41"/>
        <v>7</v>
      </c>
      <c r="K897" s="10"/>
      <c r="L897" s="10"/>
      <c r="M897" s="10"/>
      <c r="N897" s="10"/>
      <c r="O897" s="10"/>
      <c r="P897" s="10"/>
      <c r="Q897" s="10"/>
      <c r="R897" s="10"/>
      <c r="S897" s="10"/>
      <c r="T897" s="10"/>
      <c r="U897" s="10"/>
      <c r="V897" s="10"/>
      <c r="W897" s="10"/>
      <c r="X897" s="10"/>
      <c r="Y897" s="10"/>
    </row>
    <row r="898" spans="1:25" ht="16.5" customHeight="1" x14ac:dyDescent="0.2">
      <c r="A898" s="318" t="s">
        <v>766</v>
      </c>
      <c r="B898" s="319"/>
      <c r="C898" s="332"/>
      <c r="D898" s="148"/>
      <c r="E898" s="148"/>
      <c r="F898" s="148"/>
      <c r="G898" s="148">
        <v>1</v>
      </c>
      <c r="H898" s="148">
        <v>7</v>
      </c>
      <c r="I898" s="148"/>
      <c r="J898" s="170">
        <f t="shared" si="41"/>
        <v>7</v>
      </c>
      <c r="K898" s="10"/>
      <c r="L898" s="10"/>
      <c r="M898" s="10"/>
      <c r="N898" s="10"/>
      <c r="O898" s="10"/>
      <c r="P898" s="10"/>
      <c r="Q898" s="10"/>
      <c r="R898" s="10"/>
      <c r="S898" s="10"/>
      <c r="T898" s="10"/>
      <c r="U898" s="10"/>
      <c r="V898" s="10"/>
      <c r="W898" s="10"/>
      <c r="X898" s="10"/>
      <c r="Y898" s="10"/>
    </row>
    <row r="899" spans="1:25" ht="16.5" customHeight="1" x14ac:dyDescent="0.2">
      <c r="A899" s="318" t="s">
        <v>794</v>
      </c>
      <c r="B899" s="319"/>
      <c r="C899" s="332"/>
      <c r="D899" s="148"/>
      <c r="E899" s="148"/>
      <c r="F899" s="148"/>
      <c r="G899" s="148">
        <v>1</v>
      </c>
      <c r="H899" s="148">
        <v>7</v>
      </c>
      <c r="I899" s="148"/>
      <c r="J899" s="170">
        <f t="shared" si="41"/>
        <v>7</v>
      </c>
      <c r="K899" s="10"/>
      <c r="L899" s="10"/>
      <c r="M899" s="10"/>
      <c r="N899" s="10"/>
      <c r="O899" s="10"/>
      <c r="P899" s="10"/>
      <c r="Q899" s="10"/>
      <c r="R899" s="10"/>
      <c r="S899" s="10"/>
      <c r="T899" s="10"/>
      <c r="U899" s="10"/>
      <c r="V899" s="10"/>
      <c r="W899" s="10"/>
      <c r="X899" s="10"/>
      <c r="Y899" s="10"/>
    </row>
    <row r="900" spans="1:25" ht="16.5" customHeight="1" x14ac:dyDescent="0.2">
      <c r="A900" s="318" t="s">
        <v>795</v>
      </c>
      <c r="B900" s="319"/>
      <c r="C900" s="332"/>
      <c r="D900" s="148"/>
      <c r="E900" s="148"/>
      <c r="F900" s="148"/>
      <c r="G900" s="148">
        <v>1</v>
      </c>
      <c r="H900" s="148">
        <v>7</v>
      </c>
      <c r="I900" s="148"/>
      <c r="J900" s="170">
        <f t="shared" si="41"/>
        <v>7</v>
      </c>
      <c r="K900" s="10"/>
      <c r="L900" s="10"/>
      <c r="M900" s="10"/>
      <c r="N900" s="10"/>
      <c r="O900" s="10"/>
      <c r="P900" s="10"/>
      <c r="Q900" s="10"/>
      <c r="R900" s="10"/>
      <c r="S900" s="10"/>
      <c r="T900" s="10"/>
      <c r="U900" s="10"/>
      <c r="V900" s="10"/>
      <c r="W900" s="10"/>
      <c r="X900" s="10"/>
      <c r="Y900" s="10"/>
    </row>
    <row r="901" spans="1:25" ht="16.5" customHeight="1" x14ac:dyDescent="0.2">
      <c r="A901" s="318" t="s">
        <v>796</v>
      </c>
      <c r="B901" s="319"/>
      <c r="C901" s="332"/>
      <c r="D901" s="148"/>
      <c r="E901" s="148"/>
      <c r="F901" s="148"/>
      <c r="G901" s="148">
        <v>1</v>
      </c>
      <c r="H901" s="148">
        <v>7</v>
      </c>
      <c r="I901" s="148"/>
      <c r="J901" s="170">
        <f t="shared" si="41"/>
        <v>7</v>
      </c>
      <c r="K901" s="10"/>
      <c r="L901" s="10"/>
      <c r="M901" s="10"/>
      <c r="N901" s="10"/>
      <c r="O901" s="10"/>
      <c r="P901" s="10"/>
      <c r="Q901" s="10"/>
      <c r="R901" s="10"/>
      <c r="S901" s="10"/>
      <c r="T901" s="10"/>
      <c r="U901" s="10"/>
      <c r="V901" s="10"/>
      <c r="W901" s="10"/>
      <c r="X901" s="10"/>
      <c r="Y901" s="10"/>
    </row>
    <row r="902" spans="1:25" ht="16.5" customHeight="1" x14ac:dyDescent="0.2">
      <c r="A902" s="318" t="s">
        <v>797</v>
      </c>
      <c r="B902" s="319"/>
      <c r="C902" s="332"/>
      <c r="D902" s="148"/>
      <c r="E902" s="148"/>
      <c r="F902" s="148"/>
      <c r="G902" s="148">
        <v>1</v>
      </c>
      <c r="H902" s="148">
        <v>7</v>
      </c>
      <c r="I902" s="148"/>
      <c r="J902" s="170">
        <f t="shared" si="41"/>
        <v>7</v>
      </c>
      <c r="K902" s="10"/>
      <c r="L902" s="10"/>
      <c r="M902" s="10"/>
      <c r="N902" s="10"/>
      <c r="O902" s="10"/>
      <c r="P902" s="10"/>
      <c r="Q902" s="10"/>
      <c r="R902" s="10"/>
      <c r="S902" s="10"/>
      <c r="T902" s="10"/>
      <c r="U902" s="10"/>
      <c r="V902" s="10"/>
      <c r="W902" s="10"/>
      <c r="X902" s="10"/>
      <c r="Y902" s="10"/>
    </row>
    <row r="903" spans="1:25" ht="16.5" customHeight="1" x14ac:dyDescent="0.2">
      <c r="A903" s="318" t="s">
        <v>798</v>
      </c>
      <c r="B903" s="319"/>
      <c r="C903" s="332"/>
      <c r="D903" s="148"/>
      <c r="E903" s="148"/>
      <c r="F903" s="148"/>
      <c r="G903" s="148">
        <v>1</v>
      </c>
      <c r="H903" s="148">
        <v>7</v>
      </c>
      <c r="I903" s="148"/>
      <c r="J903" s="170">
        <f t="shared" si="41"/>
        <v>7</v>
      </c>
      <c r="K903" s="10"/>
      <c r="L903" s="10"/>
      <c r="M903" s="10"/>
      <c r="N903" s="10"/>
      <c r="O903" s="10"/>
      <c r="P903" s="10"/>
      <c r="Q903" s="10"/>
      <c r="R903" s="10"/>
      <c r="S903" s="10"/>
      <c r="T903" s="10"/>
      <c r="U903" s="10"/>
      <c r="V903" s="10"/>
      <c r="W903" s="10"/>
      <c r="X903" s="10"/>
      <c r="Y903" s="10"/>
    </row>
    <row r="904" spans="1:25" ht="16.5" customHeight="1" x14ac:dyDescent="0.2">
      <c r="A904" s="318" t="s">
        <v>799</v>
      </c>
      <c r="B904" s="319"/>
      <c r="C904" s="332"/>
      <c r="D904" s="148"/>
      <c r="E904" s="148"/>
      <c r="F904" s="148"/>
      <c r="G904" s="148">
        <v>1</v>
      </c>
      <c r="H904" s="148">
        <v>7</v>
      </c>
      <c r="I904" s="148"/>
      <c r="J904" s="170">
        <f t="shared" si="41"/>
        <v>7</v>
      </c>
      <c r="K904" s="10"/>
      <c r="L904" s="10"/>
      <c r="M904" s="10"/>
      <c r="N904" s="10"/>
      <c r="O904" s="10"/>
      <c r="P904" s="10"/>
      <c r="Q904" s="10"/>
      <c r="R904" s="10"/>
      <c r="S904" s="10"/>
      <c r="T904" s="10"/>
      <c r="U904" s="10"/>
      <c r="V904" s="10"/>
      <c r="W904" s="10"/>
      <c r="X904" s="10"/>
      <c r="Y904" s="10"/>
    </row>
    <row r="905" spans="1:25" ht="16.5" customHeight="1" x14ac:dyDescent="0.2">
      <c r="A905" s="318" t="s">
        <v>681</v>
      </c>
      <c r="B905" s="319"/>
      <c r="C905" s="332"/>
      <c r="D905" s="148"/>
      <c r="E905" s="148"/>
      <c r="F905" s="148"/>
      <c r="G905" s="148">
        <v>1</v>
      </c>
      <c r="H905" s="148">
        <v>7</v>
      </c>
      <c r="I905" s="148"/>
      <c r="J905" s="170">
        <f t="shared" si="41"/>
        <v>7</v>
      </c>
      <c r="K905" s="10"/>
      <c r="L905" s="10"/>
      <c r="M905" s="10"/>
      <c r="N905" s="10"/>
      <c r="O905" s="10"/>
      <c r="P905" s="10"/>
      <c r="Q905" s="10"/>
      <c r="R905" s="10"/>
      <c r="S905" s="10"/>
      <c r="T905" s="10"/>
      <c r="U905" s="10"/>
      <c r="V905" s="10"/>
      <c r="W905" s="10"/>
      <c r="X905" s="10"/>
      <c r="Y905" s="10"/>
    </row>
    <row r="906" spans="1:25" ht="16.5" customHeight="1" x14ac:dyDescent="0.2">
      <c r="A906" s="318" t="s">
        <v>800</v>
      </c>
      <c r="B906" s="319"/>
      <c r="C906" s="332"/>
      <c r="D906" s="148"/>
      <c r="E906" s="148"/>
      <c r="F906" s="148"/>
      <c r="G906" s="148">
        <v>1</v>
      </c>
      <c r="H906" s="148">
        <v>7</v>
      </c>
      <c r="I906" s="148"/>
      <c r="J906" s="170">
        <f t="shared" si="41"/>
        <v>7</v>
      </c>
      <c r="K906" s="10"/>
      <c r="L906" s="10"/>
      <c r="M906" s="10"/>
      <c r="N906" s="10"/>
      <c r="O906" s="10"/>
      <c r="P906" s="10"/>
      <c r="Q906" s="10"/>
      <c r="R906" s="10"/>
      <c r="S906" s="10"/>
      <c r="T906" s="10"/>
      <c r="U906" s="10"/>
      <c r="V906" s="10"/>
      <c r="W906" s="10"/>
      <c r="X906" s="10"/>
      <c r="Y906" s="10"/>
    </row>
    <row r="907" spans="1:25" ht="16.5" customHeight="1" x14ac:dyDescent="0.2">
      <c r="A907" s="318" t="s">
        <v>801</v>
      </c>
      <c r="B907" s="319"/>
      <c r="C907" s="332"/>
      <c r="D907" s="148"/>
      <c r="E907" s="148"/>
      <c r="F907" s="148"/>
      <c r="G907" s="148">
        <v>1</v>
      </c>
      <c r="H907" s="148">
        <v>7</v>
      </c>
      <c r="I907" s="148"/>
      <c r="J907" s="170">
        <f t="shared" si="41"/>
        <v>7</v>
      </c>
      <c r="K907" s="10"/>
      <c r="L907" s="10"/>
      <c r="M907" s="10"/>
      <c r="N907" s="10"/>
      <c r="O907" s="10"/>
      <c r="P907" s="10"/>
      <c r="Q907" s="10"/>
      <c r="R907" s="10"/>
      <c r="S907" s="10"/>
      <c r="T907" s="10"/>
      <c r="U907" s="10"/>
      <c r="V907" s="10"/>
      <c r="W907" s="10"/>
      <c r="X907" s="10"/>
      <c r="Y907" s="10"/>
    </row>
    <row r="908" spans="1:25" ht="16.5" customHeight="1" x14ac:dyDescent="0.2">
      <c r="A908" s="318" t="s">
        <v>802</v>
      </c>
      <c r="B908" s="319"/>
      <c r="C908" s="332"/>
      <c r="D908" s="148"/>
      <c r="E908" s="148"/>
      <c r="F908" s="148"/>
      <c r="G908" s="148">
        <v>1</v>
      </c>
      <c r="H908" s="148">
        <v>7</v>
      </c>
      <c r="I908" s="148"/>
      <c r="J908" s="170">
        <f t="shared" si="41"/>
        <v>7</v>
      </c>
      <c r="K908" s="10"/>
      <c r="L908" s="10"/>
      <c r="M908" s="10"/>
      <c r="N908" s="10"/>
      <c r="O908" s="10"/>
      <c r="P908" s="10"/>
      <c r="Q908" s="10"/>
      <c r="R908" s="10"/>
      <c r="S908" s="10"/>
      <c r="T908" s="10"/>
      <c r="U908" s="10"/>
      <c r="V908" s="10"/>
      <c r="W908" s="10"/>
      <c r="X908" s="10"/>
      <c r="Y908" s="10"/>
    </row>
    <row r="909" spans="1:25" ht="16.5" customHeight="1" x14ac:dyDescent="0.2">
      <c r="A909" s="318" t="s">
        <v>803</v>
      </c>
      <c r="B909" s="319"/>
      <c r="C909" s="332"/>
      <c r="D909" s="148"/>
      <c r="E909" s="148"/>
      <c r="F909" s="148"/>
      <c r="G909" s="148">
        <v>1</v>
      </c>
      <c r="H909" s="148">
        <v>7</v>
      </c>
      <c r="I909" s="148"/>
      <c r="J909" s="170">
        <f t="shared" si="41"/>
        <v>7</v>
      </c>
      <c r="K909" s="10"/>
      <c r="L909" s="10"/>
      <c r="M909" s="10"/>
      <c r="N909" s="10"/>
      <c r="O909" s="10"/>
      <c r="P909" s="10"/>
      <c r="Q909" s="10"/>
      <c r="R909" s="10"/>
      <c r="S909" s="10"/>
      <c r="T909" s="10"/>
      <c r="U909" s="10"/>
      <c r="V909" s="10"/>
      <c r="W909" s="10"/>
      <c r="X909" s="10"/>
      <c r="Y909" s="10"/>
    </row>
    <row r="910" spans="1:25" ht="16.5" customHeight="1" x14ac:dyDescent="0.2">
      <c r="A910" s="318" t="s">
        <v>804</v>
      </c>
      <c r="B910" s="319"/>
      <c r="C910" s="332"/>
      <c r="D910" s="148"/>
      <c r="E910" s="148"/>
      <c r="F910" s="148"/>
      <c r="G910" s="148">
        <v>1</v>
      </c>
      <c r="H910" s="148">
        <v>7</v>
      </c>
      <c r="I910" s="148"/>
      <c r="J910" s="170">
        <f t="shared" si="41"/>
        <v>7</v>
      </c>
      <c r="K910" s="10"/>
      <c r="L910" s="10"/>
      <c r="M910" s="10"/>
      <c r="N910" s="10"/>
      <c r="O910" s="10"/>
      <c r="P910" s="10"/>
      <c r="Q910" s="10"/>
      <c r="R910" s="10"/>
      <c r="S910" s="10"/>
      <c r="T910" s="10"/>
      <c r="U910" s="10"/>
      <c r="V910" s="10"/>
      <c r="W910" s="10"/>
      <c r="X910" s="10"/>
      <c r="Y910" s="10"/>
    </row>
    <row r="911" spans="1:25" ht="16.5" customHeight="1" x14ac:dyDescent="0.2">
      <c r="A911" s="342" t="str">
        <f>"TOTAL - "&amp;'Planilha orçamentária'!F72</f>
        <v>TOTAL - UN</v>
      </c>
      <c r="B911" s="342"/>
      <c r="C911" s="342"/>
      <c r="D911" s="342"/>
      <c r="E911" s="342"/>
      <c r="F911" s="342"/>
      <c r="G911" s="342"/>
      <c r="H911" s="342"/>
      <c r="I911" s="342"/>
      <c r="J911" s="149">
        <f>SUM(J895:J910)</f>
        <v>112</v>
      </c>
      <c r="K911" s="10"/>
      <c r="L911" s="10"/>
      <c r="M911" s="10"/>
      <c r="N911" s="10"/>
      <c r="O911" s="10"/>
      <c r="P911" s="10"/>
      <c r="Q911" s="10"/>
      <c r="R911" s="10"/>
      <c r="S911" s="10"/>
      <c r="T911" s="10"/>
      <c r="U911" s="10"/>
      <c r="V911" s="10"/>
      <c r="W911" s="10"/>
      <c r="X911" s="10"/>
      <c r="Y911" s="10"/>
    </row>
    <row r="912" spans="1:25" ht="34.9" customHeight="1" x14ac:dyDescent="0.2">
      <c r="A912" s="184" t="str">
        <f>'Planilha orçamentária'!A73</f>
        <v>10.7</v>
      </c>
      <c r="B912" s="343" t="str">
        <f>'Planilha orçamentária'!D73</f>
        <v>Torneira metálica para pia, bica móvel, abertura 1/4 de volta, acabamento cromado, com arejador, aplicação de mesa, inclusive engate flexível metálico, fornecimento e instalação</v>
      </c>
      <c r="C912" s="344"/>
      <c r="D912" s="344"/>
      <c r="E912" s="344"/>
      <c r="F912" s="344"/>
      <c r="G912" s="344"/>
      <c r="H912" s="344"/>
      <c r="I912" s="344"/>
      <c r="J912" s="344"/>
      <c r="K912" s="10"/>
      <c r="L912" s="10"/>
      <c r="M912" s="10"/>
      <c r="N912" s="10"/>
      <c r="O912" s="10"/>
      <c r="P912" s="10"/>
      <c r="Q912" s="10"/>
      <c r="R912" s="10"/>
      <c r="S912" s="10"/>
      <c r="T912" s="10"/>
      <c r="U912" s="10"/>
      <c r="V912" s="10"/>
      <c r="W912" s="10"/>
      <c r="X912" s="10"/>
      <c r="Y912" s="10"/>
    </row>
    <row r="913" spans="1:25" ht="25.5" customHeight="1" x14ac:dyDescent="0.2">
      <c r="A913" s="327" t="s">
        <v>120</v>
      </c>
      <c r="B913" s="328"/>
      <c r="C913" s="328"/>
      <c r="D913" s="182" t="s">
        <v>121</v>
      </c>
      <c r="E913" s="182" t="s">
        <v>122</v>
      </c>
      <c r="F913" s="181" t="s">
        <v>123</v>
      </c>
      <c r="G913" s="181" t="s">
        <v>124</v>
      </c>
      <c r="H913" s="181" t="s">
        <v>489</v>
      </c>
      <c r="I913" s="182" t="s">
        <v>126</v>
      </c>
      <c r="J913" s="182" t="s">
        <v>113</v>
      </c>
      <c r="K913" s="10"/>
      <c r="L913" s="10"/>
      <c r="M913" s="10"/>
      <c r="N913" s="10"/>
      <c r="O913" s="10"/>
      <c r="P913" s="10"/>
      <c r="Q913" s="10"/>
      <c r="R913" s="10"/>
      <c r="S913" s="10"/>
      <c r="T913" s="10"/>
      <c r="U913" s="10"/>
      <c r="V913" s="10"/>
      <c r="W913" s="10"/>
      <c r="X913" s="10"/>
      <c r="Y913" s="10"/>
    </row>
    <row r="914" spans="1:25" ht="16.5" customHeight="1" x14ac:dyDescent="0.2">
      <c r="A914" s="318" t="s">
        <v>671</v>
      </c>
      <c r="B914" s="319"/>
      <c r="C914" s="332"/>
      <c r="D914" s="148"/>
      <c r="E914" s="148"/>
      <c r="F914" s="148"/>
      <c r="G914" s="148">
        <v>1</v>
      </c>
      <c r="H914" s="148">
        <v>7</v>
      </c>
      <c r="I914" s="148"/>
      <c r="J914" s="170">
        <f t="shared" ref="J914:J929" si="42">PRODUCT(D914:H914)-I914</f>
        <v>7</v>
      </c>
      <c r="K914" s="10"/>
      <c r="L914" s="10"/>
      <c r="M914" s="10"/>
      <c r="N914" s="10"/>
      <c r="O914" s="10"/>
      <c r="P914" s="10"/>
      <c r="Q914" s="10"/>
      <c r="R914" s="10"/>
      <c r="S914" s="10"/>
      <c r="T914" s="10"/>
      <c r="U914" s="10"/>
      <c r="V914" s="10"/>
      <c r="W914" s="10"/>
      <c r="X914" s="10"/>
      <c r="Y914" s="10"/>
    </row>
    <row r="915" spans="1:25" ht="16.5" customHeight="1" x14ac:dyDescent="0.2">
      <c r="A915" s="318" t="s">
        <v>672</v>
      </c>
      <c r="B915" s="319"/>
      <c r="C915" s="332"/>
      <c r="D915" s="148"/>
      <c r="E915" s="148"/>
      <c r="F915" s="148"/>
      <c r="G915" s="148">
        <v>1</v>
      </c>
      <c r="H915" s="148">
        <v>7</v>
      </c>
      <c r="I915" s="148"/>
      <c r="J915" s="170">
        <f t="shared" si="42"/>
        <v>7</v>
      </c>
      <c r="K915" s="10"/>
      <c r="L915" s="10"/>
      <c r="M915" s="10"/>
      <c r="N915" s="10"/>
      <c r="O915" s="10"/>
      <c r="P915" s="10"/>
      <c r="Q915" s="10"/>
      <c r="R915" s="10"/>
      <c r="S915" s="10"/>
      <c r="T915" s="10"/>
      <c r="U915" s="10"/>
      <c r="V915" s="10"/>
      <c r="W915" s="10"/>
      <c r="X915" s="10"/>
      <c r="Y915" s="10"/>
    </row>
    <row r="916" spans="1:25" ht="16.5" customHeight="1" x14ac:dyDescent="0.2">
      <c r="A916" s="318" t="s">
        <v>673</v>
      </c>
      <c r="B916" s="319"/>
      <c r="C916" s="332"/>
      <c r="D916" s="148"/>
      <c r="E916" s="148"/>
      <c r="F916" s="148"/>
      <c r="G916" s="148">
        <v>1</v>
      </c>
      <c r="H916" s="148">
        <v>7</v>
      </c>
      <c r="I916" s="148"/>
      <c r="J916" s="170">
        <f t="shared" si="42"/>
        <v>7</v>
      </c>
      <c r="K916" s="10"/>
      <c r="L916" s="10"/>
      <c r="M916" s="10"/>
      <c r="N916" s="10"/>
      <c r="O916" s="10"/>
      <c r="P916" s="10"/>
      <c r="Q916" s="10"/>
      <c r="R916" s="10"/>
      <c r="S916" s="10"/>
      <c r="T916" s="10"/>
      <c r="U916" s="10"/>
      <c r="V916" s="10"/>
      <c r="W916" s="10"/>
      <c r="X916" s="10"/>
      <c r="Y916" s="10"/>
    </row>
    <row r="917" spans="1:25" ht="16.5" customHeight="1" x14ac:dyDescent="0.2">
      <c r="A917" s="318" t="s">
        <v>766</v>
      </c>
      <c r="B917" s="319"/>
      <c r="C917" s="332"/>
      <c r="D917" s="148"/>
      <c r="E917" s="148"/>
      <c r="F917" s="148"/>
      <c r="G917" s="148">
        <v>1</v>
      </c>
      <c r="H917" s="148">
        <v>7</v>
      </c>
      <c r="I917" s="148"/>
      <c r="J917" s="170">
        <f t="shared" si="42"/>
        <v>7</v>
      </c>
      <c r="K917" s="10"/>
      <c r="L917" s="10"/>
      <c r="M917" s="10"/>
      <c r="N917" s="10"/>
      <c r="O917" s="10"/>
      <c r="P917" s="10"/>
      <c r="Q917" s="10"/>
      <c r="R917" s="10"/>
      <c r="S917" s="10"/>
      <c r="T917" s="10"/>
      <c r="U917" s="10"/>
      <c r="V917" s="10"/>
      <c r="W917" s="10"/>
      <c r="X917" s="10"/>
      <c r="Y917" s="10"/>
    </row>
    <row r="918" spans="1:25" ht="16.5" customHeight="1" x14ac:dyDescent="0.2">
      <c r="A918" s="318" t="s">
        <v>794</v>
      </c>
      <c r="B918" s="319"/>
      <c r="C918" s="332"/>
      <c r="D918" s="148"/>
      <c r="E918" s="148"/>
      <c r="F918" s="148"/>
      <c r="G918" s="148">
        <v>1</v>
      </c>
      <c r="H918" s="148">
        <v>7</v>
      </c>
      <c r="I918" s="148"/>
      <c r="J918" s="170">
        <f t="shared" si="42"/>
        <v>7</v>
      </c>
      <c r="K918" s="10"/>
      <c r="L918" s="10"/>
      <c r="M918" s="10"/>
      <c r="N918" s="10"/>
      <c r="O918" s="10"/>
      <c r="P918" s="10"/>
      <c r="Q918" s="10"/>
      <c r="R918" s="10"/>
      <c r="S918" s="10"/>
      <c r="T918" s="10"/>
      <c r="U918" s="10"/>
      <c r="V918" s="10"/>
      <c r="W918" s="10"/>
      <c r="X918" s="10"/>
      <c r="Y918" s="10"/>
    </row>
    <row r="919" spans="1:25" ht="16.5" customHeight="1" x14ac:dyDescent="0.2">
      <c r="A919" s="318" t="s">
        <v>795</v>
      </c>
      <c r="B919" s="319"/>
      <c r="C919" s="332"/>
      <c r="D919" s="148"/>
      <c r="E919" s="148"/>
      <c r="F919" s="148"/>
      <c r="G919" s="148">
        <v>1</v>
      </c>
      <c r="H919" s="148">
        <v>7</v>
      </c>
      <c r="I919" s="148"/>
      <c r="J919" s="170">
        <f t="shared" si="42"/>
        <v>7</v>
      </c>
      <c r="K919" s="10"/>
      <c r="L919" s="10"/>
      <c r="M919" s="10"/>
      <c r="N919" s="10"/>
      <c r="O919" s="10"/>
      <c r="P919" s="10"/>
      <c r="Q919" s="10"/>
      <c r="R919" s="10"/>
      <c r="S919" s="10"/>
      <c r="T919" s="10"/>
      <c r="U919" s="10"/>
      <c r="V919" s="10"/>
      <c r="W919" s="10"/>
      <c r="X919" s="10"/>
      <c r="Y919" s="10"/>
    </row>
    <row r="920" spans="1:25" ht="16.5" customHeight="1" x14ac:dyDescent="0.2">
      <c r="A920" s="318" t="s">
        <v>796</v>
      </c>
      <c r="B920" s="319"/>
      <c r="C920" s="332"/>
      <c r="D920" s="148"/>
      <c r="E920" s="148"/>
      <c r="F920" s="148"/>
      <c r="G920" s="148">
        <v>1</v>
      </c>
      <c r="H920" s="148">
        <v>7</v>
      </c>
      <c r="I920" s="148"/>
      <c r="J920" s="170">
        <f t="shared" si="42"/>
        <v>7</v>
      </c>
      <c r="K920" s="10"/>
      <c r="L920" s="10"/>
      <c r="M920" s="10"/>
      <c r="N920" s="10"/>
      <c r="O920" s="10"/>
      <c r="P920" s="10"/>
      <c r="Q920" s="10"/>
      <c r="R920" s="10"/>
      <c r="S920" s="10"/>
      <c r="T920" s="10"/>
      <c r="U920" s="10"/>
      <c r="V920" s="10"/>
      <c r="W920" s="10"/>
      <c r="X920" s="10"/>
      <c r="Y920" s="10"/>
    </row>
    <row r="921" spans="1:25" ht="16.5" customHeight="1" x14ac:dyDescent="0.2">
      <c r="A921" s="318" t="s">
        <v>797</v>
      </c>
      <c r="B921" s="319"/>
      <c r="C921" s="332"/>
      <c r="D921" s="148"/>
      <c r="E921" s="148"/>
      <c r="F921" s="148"/>
      <c r="G921" s="148">
        <v>1</v>
      </c>
      <c r="H921" s="148">
        <v>7</v>
      </c>
      <c r="I921" s="148"/>
      <c r="J921" s="170">
        <f t="shared" si="42"/>
        <v>7</v>
      </c>
      <c r="K921" s="10"/>
      <c r="L921" s="10"/>
      <c r="M921" s="10"/>
      <c r="N921" s="10"/>
      <c r="O921" s="10"/>
      <c r="P921" s="10"/>
      <c r="Q921" s="10"/>
      <c r="R921" s="10"/>
      <c r="S921" s="10"/>
      <c r="T921" s="10"/>
      <c r="U921" s="10"/>
      <c r="V921" s="10"/>
      <c r="W921" s="10"/>
      <c r="X921" s="10"/>
      <c r="Y921" s="10"/>
    </row>
    <row r="922" spans="1:25" ht="16.5" customHeight="1" x14ac:dyDescent="0.2">
      <c r="A922" s="318" t="s">
        <v>798</v>
      </c>
      <c r="B922" s="319"/>
      <c r="C922" s="332"/>
      <c r="D922" s="148"/>
      <c r="E922" s="148"/>
      <c r="F922" s="148"/>
      <c r="G922" s="148">
        <v>1</v>
      </c>
      <c r="H922" s="148">
        <v>7</v>
      </c>
      <c r="I922" s="148"/>
      <c r="J922" s="170">
        <f t="shared" si="42"/>
        <v>7</v>
      </c>
      <c r="K922" s="10"/>
      <c r="L922" s="10"/>
      <c r="M922" s="10"/>
      <c r="N922" s="10"/>
      <c r="O922" s="10"/>
      <c r="P922" s="10"/>
      <c r="Q922" s="10"/>
      <c r="R922" s="10"/>
      <c r="S922" s="10"/>
      <c r="T922" s="10"/>
      <c r="U922" s="10"/>
      <c r="V922" s="10"/>
      <c r="W922" s="10"/>
      <c r="X922" s="10"/>
      <c r="Y922" s="10"/>
    </row>
    <row r="923" spans="1:25" ht="16.5" customHeight="1" x14ac:dyDescent="0.2">
      <c r="A923" s="318" t="s">
        <v>799</v>
      </c>
      <c r="B923" s="319"/>
      <c r="C923" s="332"/>
      <c r="D923" s="148"/>
      <c r="E923" s="148"/>
      <c r="F923" s="148"/>
      <c r="G923" s="148">
        <v>1</v>
      </c>
      <c r="H923" s="148">
        <v>7</v>
      </c>
      <c r="I923" s="148"/>
      <c r="J923" s="170">
        <f t="shared" si="42"/>
        <v>7</v>
      </c>
      <c r="K923" s="10"/>
      <c r="L923" s="10"/>
      <c r="M923" s="10"/>
      <c r="N923" s="10"/>
      <c r="O923" s="10"/>
      <c r="P923" s="10"/>
      <c r="Q923" s="10"/>
      <c r="R923" s="10"/>
      <c r="S923" s="10"/>
      <c r="T923" s="10"/>
      <c r="U923" s="10"/>
      <c r="V923" s="10"/>
      <c r="W923" s="10"/>
      <c r="X923" s="10"/>
      <c r="Y923" s="10"/>
    </row>
    <row r="924" spans="1:25" ht="16.5" customHeight="1" x14ac:dyDescent="0.2">
      <c r="A924" s="318" t="s">
        <v>681</v>
      </c>
      <c r="B924" s="319"/>
      <c r="C924" s="332"/>
      <c r="D924" s="148"/>
      <c r="E924" s="148"/>
      <c r="F924" s="148"/>
      <c r="G924" s="148">
        <v>1</v>
      </c>
      <c r="H924" s="148">
        <v>7</v>
      </c>
      <c r="I924" s="148"/>
      <c r="J924" s="170">
        <f t="shared" si="42"/>
        <v>7</v>
      </c>
      <c r="K924" s="10"/>
      <c r="L924" s="10"/>
      <c r="M924" s="10"/>
      <c r="N924" s="10"/>
      <c r="O924" s="10"/>
      <c r="P924" s="10"/>
      <c r="Q924" s="10"/>
      <c r="R924" s="10"/>
      <c r="S924" s="10"/>
      <c r="T924" s="10"/>
      <c r="U924" s="10"/>
      <c r="V924" s="10"/>
      <c r="W924" s="10"/>
      <c r="X924" s="10"/>
      <c r="Y924" s="10"/>
    </row>
    <row r="925" spans="1:25" ht="16.5" customHeight="1" x14ac:dyDescent="0.2">
      <c r="A925" s="318" t="s">
        <v>800</v>
      </c>
      <c r="B925" s="319"/>
      <c r="C925" s="332"/>
      <c r="D925" s="148"/>
      <c r="E925" s="148"/>
      <c r="F925" s="148"/>
      <c r="G925" s="148">
        <v>1</v>
      </c>
      <c r="H925" s="148">
        <v>7</v>
      </c>
      <c r="I925" s="148"/>
      <c r="J925" s="170">
        <f t="shared" si="42"/>
        <v>7</v>
      </c>
      <c r="K925" s="10"/>
      <c r="L925" s="10"/>
      <c r="M925" s="10"/>
      <c r="N925" s="10"/>
      <c r="O925" s="10"/>
      <c r="P925" s="10"/>
      <c r="Q925" s="10"/>
      <c r="R925" s="10"/>
      <c r="S925" s="10"/>
      <c r="T925" s="10"/>
      <c r="U925" s="10"/>
      <c r="V925" s="10"/>
      <c r="W925" s="10"/>
      <c r="X925" s="10"/>
      <c r="Y925" s="10"/>
    </row>
    <row r="926" spans="1:25" ht="16.5" customHeight="1" x14ac:dyDescent="0.2">
      <c r="A926" s="318" t="s">
        <v>801</v>
      </c>
      <c r="B926" s="319"/>
      <c r="C926" s="332"/>
      <c r="D926" s="148"/>
      <c r="E926" s="148"/>
      <c r="F926" s="148"/>
      <c r="G926" s="148">
        <v>1</v>
      </c>
      <c r="H926" s="148">
        <v>7</v>
      </c>
      <c r="I926" s="148"/>
      <c r="J926" s="170">
        <f t="shared" si="42"/>
        <v>7</v>
      </c>
      <c r="K926" s="10"/>
      <c r="L926" s="10"/>
      <c r="M926" s="10"/>
      <c r="N926" s="10"/>
      <c r="O926" s="10"/>
      <c r="P926" s="10"/>
      <c r="Q926" s="10"/>
      <c r="R926" s="10"/>
      <c r="S926" s="10"/>
      <c r="T926" s="10"/>
      <c r="U926" s="10"/>
      <c r="V926" s="10"/>
      <c r="W926" s="10"/>
      <c r="X926" s="10"/>
      <c r="Y926" s="10"/>
    </row>
    <row r="927" spans="1:25" ht="16.5" customHeight="1" x14ac:dyDescent="0.2">
      <c r="A927" s="318" t="s">
        <v>802</v>
      </c>
      <c r="B927" s="319"/>
      <c r="C927" s="332"/>
      <c r="D927" s="148"/>
      <c r="E927" s="148"/>
      <c r="F927" s="148"/>
      <c r="G927" s="148">
        <v>1</v>
      </c>
      <c r="H927" s="148">
        <v>7</v>
      </c>
      <c r="I927" s="148"/>
      <c r="J927" s="170">
        <f t="shared" si="42"/>
        <v>7</v>
      </c>
      <c r="K927" s="10"/>
      <c r="L927" s="10"/>
      <c r="M927" s="10"/>
      <c r="N927" s="10"/>
      <c r="O927" s="10"/>
      <c r="P927" s="10"/>
      <c r="Q927" s="10"/>
      <c r="R927" s="10"/>
      <c r="S927" s="10"/>
      <c r="T927" s="10"/>
      <c r="U927" s="10"/>
      <c r="V927" s="10"/>
      <c r="W927" s="10"/>
      <c r="X927" s="10"/>
      <c r="Y927" s="10"/>
    </row>
    <row r="928" spans="1:25" ht="16.5" customHeight="1" x14ac:dyDescent="0.2">
      <c r="A928" s="318" t="s">
        <v>803</v>
      </c>
      <c r="B928" s="319"/>
      <c r="C928" s="332"/>
      <c r="D928" s="148"/>
      <c r="E928" s="148"/>
      <c r="F928" s="148"/>
      <c r="G928" s="148">
        <v>1</v>
      </c>
      <c r="H928" s="148">
        <v>7</v>
      </c>
      <c r="I928" s="148"/>
      <c r="J928" s="170">
        <f t="shared" si="42"/>
        <v>7</v>
      </c>
      <c r="K928" s="10"/>
      <c r="L928" s="10"/>
      <c r="M928" s="10"/>
      <c r="N928" s="10"/>
      <c r="O928" s="10"/>
      <c r="P928" s="10"/>
      <c r="Q928" s="10"/>
      <c r="R928" s="10"/>
      <c r="S928" s="10"/>
      <c r="T928" s="10"/>
      <c r="U928" s="10"/>
      <c r="V928" s="10"/>
      <c r="W928" s="10"/>
      <c r="X928" s="10"/>
      <c r="Y928" s="10"/>
    </row>
    <row r="929" spans="1:25" ht="16.5" customHeight="1" x14ac:dyDescent="0.2">
      <c r="A929" s="318" t="s">
        <v>804</v>
      </c>
      <c r="B929" s="319"/>
      <c r="C929" s="332"/>
      <c r="D929" s="148"/>
      <c r="E929" s="148"/>
      <c r="F929" s="148"/>
      <c r="G929" s="148">
        <v>1</v>
      </c>
      <c r="H929" s="148">
        <v>7</v>
      </c>
      <c r="I929" s="148"/>
      <c r="J929" s="170">
        <f t="shared" si="42"/>
        <v>7</v>
      </c>
      <c r="K929" s="10"/>
      <c r="L929" s="10"/>
      <c r="M929" s="10"/>
      <c r="N929" s="10"/>
      <c r="O929" s="10"/>
      <c r="P929" s="10"/>
      <c r="Q929" s="10"/>
      <c r="R929" s="10"/>
      <c r="S929" s="10"/>
      <c r="T929" s="10"/>
      <c r="U929" s="10"/>
      <c r="V929" s="10"/>
      <c r="W929" s="10"/>
      <c r="X929" s="10"/>
      <c r="Y929" s="10"/>
    </row>
    <row r="930" spans="1:25" ht="16.5" customHeight="1" x14ac:dyDescent="0.2">
      <c r="A930" s="342" t="str">
        <f>"TOTAL - "&amp;'Planilha orçamentária'!F73</f>
        <v>TOTAL - UN</v>
      </c>
      <c r="B930" s="342"/>
      <c r="C930" s="342"/>
      <c r="D930" s="342"/>
      <c r="E930" s="342"/>
      <c r="F930" s="342"/>
      <c r="G930" s="342"/>
      <c r="H930" s="342"/>
      <c r="I930" s="342"/>
      <c r="J930" s="149">
        <f>SUM(J914:J929)</f>
        <v>112</v>
      </c>
      <c r="K930" s="10"/>
      <c r="L930" s="10"/>
      <c r="M930" s="10"/>
      <c r="N930" s="10"/>
      <c r="O930" s="10"/>
      <c r="P930" s="10"/>
      <c r="Q930" s="10"/>
      <c r="R930" s="10"/>
      <c r="S930" s="10"/>
      <c r="T930" s="10"/>
      <c r="U930" s="10"/>
      <c r="V930" s="10"/>
      <c r="W930" s="10"/>
      <c r="X930" s="10"/>
      <c r="Y930" s="10"/>
    </row>
    <row r="931" spans="1:25" ht="22.15" customHeight="1" x14ac:dyDescent="0.2">
      <c r="A931" s="184" t="str">
        <f>'Planilha orçamentária'!A74</f>
        <v>10.8</v>
      </c>
      <c r="B931" s="343" t="str">
        <f>'Planilha orçamentária'!D74</f>
        <v>Torneira metálica para lavatório, abertura 1/4 de volta, acabamento cromado, com arejador, aplicação de mesa, inclusive engate flexível metálico, fornecimento e instalação</v>
      </c>
      <c r="C931" s="344"/>
      <c r="D931" s="344"/>
      <c r="E931" s="344"/>
      <c r="F931" s="344"/>
      <c r="G931" s="344"/>
      <c r="H931" s="344"/>
      <c r="I931" s="344"/>
      <c r="J931" s="344"/>
      <c r="K931" s="10"/>
      <c r="L931" s="10"/>
      <c r="M931" s="10"/>
      <c r="N931" s="10"/>
      <c r="O931" s="10"/>
      <c r="P931" s="10"/>
      <c r="Q931" s="10"/>
      <c r="R931" s="10"/>
      <c r="S931" s="10"/>
      <c r="T931" s="10"/>
      <c r="U931" s="10"/>
      <c r="V931" s="10"/>
      <c r="W931" s="10"/>
      <c r="X931" s="10"/>
      <c r="Y931" s="10"/>
    </row>
    <row r="932" spans="1:25" ht="25.5" customHeight="1" x14ac:dyDescent="0.2">
      <c r="A932" s="327" t="s">
        <v>120</v>
      </c>
      <c r="B932" s="328"/>
      <c r="C932" s="328"/>
      <c r="D932" s="182" t="s">
        <v>121</v>
      </c>
      <c r="E932" s="182" t="s">
        <v>122</v>
      </c>
      <c r="F932" s="181" t="s">
        <v>123</v>
      </c>
      <c r="G932" s="181" t="s">
        <v>124</v>
      </c>
      <c r="H932" s="181" t="s">
        <v>489</v>
      </c>
      <c r="I932" s="182" t="s">
        <v>126</v>
      </c>
      <c r="J932" s="182" t="s">
        <v>113</v>
      </c>
      <c r="K932" s="10"/>
      <c r="L932" s="10"/>
      <c r="M932" s="10"/>
      <c r="N932" s="10"/>
      <c r="O932" s="10"/>
      <c r="P932" s="10"/>
      <c r="Q932" s="10"/>
      <c r="R932" s="10"/>
      <c r="S932" s="10"/>
      <c r="T932" s="10"/>
      <c r="U932" s="10"/>
      <c r="V932" s="10"/>
      <c r="W932" s="10"/>
      <c r="X932" s="10"/>
      <c r="Y932" s="10"/>
    </row>
    <row r="933" spans="1:25" ht="16.5" customHeight="1" x14ac:dyDescent="0.2">
      <c r="A933" s="318" t="s">
        <v>671</v>
      </c>
      <c r="B933" s="319"/>
      <c r="C933" s="332"/>
      <c r="D933" s="148"/>
      <c r="E933" s="148"/>
      <c r="F933" s="148"/>
      <c r="G933" s="148">
        <v>1</v>
      </c>
      <c r="H933" s="148">
        <v>7</v>
      </c>
      <c r="I933" s="148"/>
      <c r="J933" s="170">
        <f t="shared" ref="J933:J948" si="43">PRODUCT(D933:H933)-I933</f>
        <v>7</v>
      </c>
      <c r="K933" s="10"/>
      <c r="L933" s="10"/>
      <c r="M933" s="10"/>
      <c r="N933" s="10"/>
      <c r="O933" s="10"/>
      <c r="P933" s="10"/>
      <c r="Q933" s="10"/>
      <c r="R933" s="10"/>
      <c r="S933" s="10"/>
      <c r="T933" s="10"/>
      <c r="U933" s="10"/>
      <c r="V933" s="10"/>
      <c r="W933" s="10"/>
      <c r="X933" s="10"/>
      <c r="Y933" s="10"/>
    </row>
    <row r="934" spans="1:25" ht="16.5" customHeight="1" x14ac:dyDescent="0.2">
      <c r="A934" s="318" t="s">
        <v>672</v>
      </c>
      <c r="B934" s="319"/>
      <c r="C934" s="332"/>
      <c r="D934" s="148"/>
      <c r="E934" s="148"/>
      <c r="F934" s="148"/>
      <c r="G934" s="148">
        <v>1</v>
      </c>
      <c r="H934" s="148">
        <v>7</v>
      </c>
      <c r="I934" s="148"/>
      <c r="J934" s="170">
        <f t="shared" si="43"/>
        <v>7</v>
      </c>
      <c r="K934" s="10"/>
      <c r="L934" s="10"/>
      <c r="M934" s="10"/>
      <c r="N934" s="10"/>
      <c r="O934" s="10"/>
      <c r="P934" s="10"/>
      <c r="Q934" s="10"/>
      <c r="R934" s="10"/>
      <c r="S934" s="10"/>
      <c r="T934" s="10"/>
      <c r="U934" s="10"/>
      <c r="V934" s="10"/>
      <c r="W934" s="10"/>
      <c r="X934" s="10"/>
      <c r="Y934" s="10"/>
    </row>
    <row r="935" spans="1:25" ht="16.5" customHeight="1" x14ac:dyDescent="0.2">
      <c r="A935" s="318" t="s">
        <v>673</v>
      </c>
      <c r="B935" s="319"/>
      <c r="C935" s="332"/>
      <c r="D935" s="148"/>
      <c r="E935" s="148"/>
      <c r="F935" s="148"/>
      <c r="G935" s="148">
        <v>1</v>
      </c>
      <c r="H935" s="148">
        <v>7</v>
      </c>
      <c r="I935" s="148"/>
      <c r="J935" s="170">
        <f t="shared" si="43"/>
        <v>7</v>
      </c>
      <c r="K935" s="10"/>
      <c r="L935" s="10"/>
      <c r="M935" s="10"/>
      <c r="N935" s="10"/>
      <c r="O935" s="10"/>
      <c r="P935" s="10"/>
      <c r="Q935" s="10"/>
      <c r="R935" s="10"/>
      <c r="S935" s="10"/>
      <c r="T935" s="10"/>
      <c r="U935" s="10"/>
      <c r="V935" s="10"/>
      <c r="W935" s="10"/>
      <c r="X935" s="10"/>
      <c r="Y935" s="10"/>
    </row>
    <row r="936" spans="1:25" ht="16.5" customHeight="1" x14ac:dyDescent="0.2">
      <c r="A936" s="318" t="s">
        <v>766</v>
      </c>
      <c r="B936" s="319"/>
      <c r="C936" s="332"/>
      <c r="D936" s="148"/>
      <c r="E936" s="148"/>
      <c r="F936" s="148"/>
      <c r="G936" s="148">
        <v>1</v>
      </c>
      <c r="H936" s="148">
        <v>7</v>
      </c>
      <c r="I936" s="148"/>
      <c r="J936" s="170">
        <f t="shared" si="43"/>
        <v>7</v>
      </c>
      <c r="K936" s="10"/>
      <c r="L936" s="10"/>
      <c r="M936" s="10"/>
      <c r="N936" s="10"/>
      <c r="O936" s="10"/>
      <c r="P936" s="10"/>
      <c r="Q936" s="10"/>
      <c r="R936" s="10"/>
      <c r="S936" s="10"/>
      <c r="T936" s="10"/>
      <c r="U936" s="10"/>
      <c r="V936" s="10"/>
      <c r="W936" s="10"/>
      <c r="X936" s="10"/>
      <c r="Y936" s="10"/>
    </row>
    <row r="937" spans="1:25" ht="16.5" customHeight="1" x14ac:dyDescent="0.2">
      <c r="A937" s="318" t="s">
        <v>794</v>
      </c>
      <c r="B937" s="319"/>
      <c r="C937" s="332"/>
      <c r="D937" s="148"/>
      <c r="E937" s="148"/>
      <c r="F937" s="148"/>
      <c r="G937" s="148">
        <v>1</v>
      </c>
      <c r="H937" s="148">
        <v>7</v>
      </c>
      <c r="I937" s="148"/>
      <c r="J937" s="170">
        <f t="shared" si="43"/>
        <v>7</v>
      </c>
      <c r="K937" s="10"/>
      <c r="L937" s="10"/>
      <c r="M937" s="10"/>
      <c r="N937" s="10"/>
      <c r="O937" s="10"/>
      <c r="P937" s="10"/>
      <c r="Q937" s="10"/>
      <c r="R937" s="10"/>
      <c r="S937" s="10"/>
      <c r="T937" s="10"/>
      <c r="U937" s="10"/>
      <c r="V937" s="10"/>
      <c r="W937" s="10"/>
      <c r="X937" s="10"/>
      <c r="Y937" s="10"/>
    </row>
    <row r="938" spans="1:25" ht="16.5" customHeight="1" x14ac:dyDescent="0.2">
      <c r="A938" s="318" t="s">
        <v>795</v>
      </c>
      <c r="B938" s="319"/>
      <c r="C938" s="332"/>
      <c r="D938" s="148"/>
      <c r="E938" s="148"/>
      <c r="F938" s="148"/>
      <c r="G938" s="148">
        <v>1</v>
      </c>
      <c r="H938" s="148">
        <v>7</v>
      </c>
      <c r="I938" s="148"/>
      <c r="J938" s="170">
        <f t="shared" si="43"/>
        <v>7</v>
      </c>
      <c r="K938" s="10"/>
      <c r="L938" s="10"/>
      <c r="M938" s="10"/>
      <c r="N938" s="10"/>
      <c r="O938" s="10"/>
      <c r="P938" s="10"/>
      <c r="Q938" s="10"/>
      <c r="R938" s="10"/>
      <c r="S938" s="10"/>
      <c r="T938" s="10"/>
      <c r="U938" s="10"/>
      <c r="V938" s="10"/>
      <c r="W938" s="10"/>
      <c r="X938" s="10"/>
      <c r="Y938" s="10"/>
    </row>
    <row r="939" spans="1:25" ht="16.5" customHeight="1" x14ac:dyDescent="0.2">
      <c r="A939" s="318" t="s">
        <v>796</v>
      </c>
      <c r="B939" s="319"/>
      <c r="C939" s="332"/>
      <c r="D939" s="148"/>
      <c r="E939" s="148"/>
      <c r="F939" s="148"/>
      <c r="G939" s="148">
        <v>1</v>
      </c>
      <c r="H939" s="148">
        <v>7</v>
      </c>
      <c r="I939" s="148"/>
      <c r="J939" s="170">
        <f t="shared" si="43"/>
        <v>7</v>
      </c>
      <c r="K939" s="10"/>
      <c r="L939" s="10"/>
      <c r="M939" s="10"/>
      <c r="N939" s="10"/>
      <c r="O939" s="10"/>
      <c r="P939" s="10"/>
      <c r="Q939" s="10"/>
      <c r="R939" s="10"/>
      <c r="S939" s="10"/>
      <c r="T939" s="10"/>
      <c r="U939" s="10"/>
      <c r="V939" s="10"/>
      <c r="W939" s="10"/>
      <c r="X939" s="10"/>
      <c r="Y939" s="10"/>
    </row>
    <row r="940" spans="1:25" ht="16.5" customHeight="1" x14ac:dyDescent="0.2">
      <c r="A940" s="318" t="s">
        <v>797</v>
      </c>
      <c r="B940" s="319"/>
      <c r="C940" s="332"/>
      <c r="D940" s="148"/>
      <c r="E940" s="148"/>
      <c r="F940" s="148"/>
      <c r="G940" s="148">
        <v>1</v>
      </c>
      <c r="H940" s="148">
        <v>7</v>
      </c>
      <c r="I940" s="148"/>
      <c r="J940" s="170">
        <f t="shared" si="43"/>
        <v>7</v>
      </c>
      <c r="K940" s="10"/>
      <c r="L940" s="10"/>
      <c r="M940" s="10"/>
      <c r="N940" s="10"/>
      <c r="O940" s="10"/>
      <c r="P940" s="10"/>
      <c r="Q940" s="10"/>
      <c r="R940" s="10"/>
      <c r="S940" s="10"/>
      <c r="T940" s="10"/>
      <c r="U940" s="10"/>
      <c r="V940" s="10"/>
      <c r="W940" s="10"/>
      <c r="X940" s="10"/>
      <c r="Y940" s="10"/>
    </row>
    <row r="941" spans="1:25" ht="16.5" customHeight="1" x14ac:dyDescent="0.2">
      <c r="A941" s="318" t="s">
        <v>798</v>
      </c>
      <c r="B941" s="319"/>
      <c r="C941" s="332"/>
      <c r="D941" s="148"/>
      <c r="E941" s="148"/>
      <c r="F941" s="148"/>
      <c r="G941" s="148">
        <v>1</v>
      </c>
      <c r="H941" s="148">
        <v>7</v>
      </c>
      <c r="I941" s="148"/>
      <c r="J941" s="170">
        <f t="shared" si="43"/>
        <v>7</v>
      </c>
      <c r="K941" s="10"/>
      <c r="L941" s="10"/>
      <c r="M941" s="10"/>
      <c r="N941" s="10"/>
      <c r="O941" s="10"/>
      <c r="P941" s="10"/>
      <c r="Q941" s="10"/>
      <c r="R941" s="10"/>
      <c r="S941" s="10"/>
      <c r="T941" s="10"/>
      <c r="U941" s="10"/>
      <c r="V941" s="10"/>
      <c r="W941" s="10"/>
      <c r="X941" s="10"/>
      <c r="Y941" s="10"/>
    </row>
    <row r="942" spans="1:25" ht="16.5" customHeight="1" x14ac:dyDescent="0.2">
      <c r="A942" s="318" t="s">
        <v>799</v>
      </c>
      <c r="B942" s="319"/>
      <c r="C942" s="332"/>
      <c r="D942" s="148"/>
      <c r="E942" s="148"/>
      <c r="F942" s="148"/>
      <c r="G942" s="148">
        <v>1</v>
      </c>
      <c r="H942" s="148">
        <v>7</v>
      </c>
      <c r="I942" s="148"/>
      <c r="J942" s="170">
        <f t="shared" si="43"/>
        <v>7</v>
      </c>
      <c r="K942" s="10"/>
      <c r="L942" s="10"/>
      <c r="M942" s="10"/>
      <c r="N942" s="10"/>
      <c r="O942" s="10"/>
      <c r="P942" s="10"/>
      <c r="Q942" s="10"/>
      <c r="R942" s="10"/>
      <c r="S942" s="10"/>
      <c r="T942" s="10"/>
      <c r="U942" s="10"/>
      <c r="V942" s="10"/>
      <c r="W942" s="10"/>
      <c r="X942" s="10"/>
      <c r="Y942" s="10"/>
    </row>
    <row r="943" spans="1:25" ht="16.5" customHeight="1" x14ac:dyDescent="0.2">
      <c r="A943" s="318" t="s">
        <v>681</v>
      </c>
      <c r="B943" s="319"/>
      <c r="C943" s="332"/>
      <c r="D943" s="148"/>
      <c r="E943" s="148"/>
      <c r="F943" s="148"/>
      <c r="G943" s="148">
        <v>1</v>
      </c>
      <c r="H943" s="148">
        <v>7</v>
      </c>
      <c r="I943" s="148"/>
      <c r="J943" s="170">
        <f t="shared" si="43"/>
        <v>7</v>
      </c>
      <c r="K943" s="10"/>
      <c r="L943" s="10"/>
      <c r="M943" s="10"/>
      <c r="N943" s="10"/>
      <c r="O943" s="10"/>
      <c r="P943" s="10"/>
      <c r="Q943" s="10"/>
      <c r="R943" s="10"/>
      <c r="S943" s="10"/>
      <c r="T943" s="10"/>
      <c r="U943" s="10"/>
      <c r="V943" s="10"/>
      <c r="W943" s="10"/>
      <c r="X943" s="10"/>
      <c r="Y943" s="10"/>
    </row>
    <row r="944" spans="1:25" ht="16.5" customHeight="1" x14ac:dyDescent="0.2">
      <c r="A944" s="318" t="s">
        <v>800</v>
      </c>
      <c r="B944" s="319"/>
      <c r="C944" s="332"/>
      <c r="D944" s="148"/>
      <c r="E944" s="148"/>
      <c r="F944" s="148"/>
      <c r="G944" s="148">
        <v>1</v>
      </c>
      <c r="H944" s="148">
        <v>7</v>
      </c>
      <c r="I944" s="148"/>
      <c r="J944" s="170">
        <f t="shared" si="43"/>
        <v>7</v>
      </c>
      <c r="K944" s="10"/>
      <c r="L944" s="10"/>
      <c r="M944" s="10"/>
      <c r="N944" s="10"/>
      <c r="O944" s="10"/>
      <c r="P944" s="10"/>
      <c r="Q944" s="10"/>
      <c r="R944" s="10"/>
      <c r="S944" s="10"/>
      <c r="T944" s="10"/>
      <c r="U944" s="10"/>
      <c r="V944" s="10"/>
      <c r="W944" s="10"/>
      <c r="X944" s="10"/>
      <c r="Y944" s="10"/>
    </row>
    <row r="945" spans="1:25" ht="16.5" customHeight="1" x14ac:dyDescent="0.2">
      <c r="A945" s="318" t="s">
        <v>801</v>
      </c>
      <c r="B945" s="319"/>
      <c r="C945" s="332"/>
      <c r="D945" s="148"/>
      <c r="E945" s="148"/>
      <c r="F945" s="148"/>
      <c r="G945" s="148">
        <v>1</v>
      </c>
      <c r="H945" s="148">
        <v>7</v>
      </c>
      <c r="I945" s="148"/>
      <c r="J945" s="170">
        <f t="shared" si="43"/>
        <v>7</v>
      </c>
      <c r="K945" s="10"/>
      <c r="L945" s="10"/>
      <c r="M945" s="10"/>
      <c r="N945" s="10"/>
      <c r="O945" s="10"/>
      <c r="P945" s="10"/>
      <c r="Q945" s="10"/>
      <c r="R945" s="10"/>
      <c r="S945" s="10"/>
      <c r="T945" s="10"/>
      <c r="U945" s="10"/>
      <c r="V945" s="10"/>
      <c r="W945" s="10"/>
      <c r="X945" s="10"/>
      <c r="Y945" s="10"/>
    </row>
    <row r="946" spans="1:25" ht="16.5" customHeight="1" x14ac:dyDescent="0.2">
      <c r="A946" s="318" t="s">
        <v>802</v>
      </c>
      <c r="B946" s="319"/>
      <c r="C946" s="332"/>
      <c r="D946" s="148"/>
      <c r="E946" s="148"/>
      <c r="F946" s="148"/>
      <c r="G946" s="148">
        <v>1</v>
      </c>
      <c r="H946" s="148">
        <v>7</v>
      </c>
      <c r="I946" s="148"/>
      <c r="J946" s="170">
        <f t="shared" si="43"/>
        <v>7</v>
      </c>
      <c r="K946" s="10"/>
      <c r="L946" s="10"/>
      <c r="M946" s="10"/>
      <c r="N946" s="10"/>
      <c r="O946" s="10"/>
      <c r="P946" s="10"/>
      <c r="Q946" s="10"/>
      <c r="R946" s="10"/>
      <c r="S946" s="10"/>
      <c r="T946" s="10"/>
      <c r="U946" s="10"/>
      <c r="V946" s="10"/>
      <c r="W946" s="10"/>
      <c r="X946" s="10"/>
      <c r="Y946" s="10"/>
    </row>
    <row r="947" spans="1:25" ht="16.5" customHeight="1" x14ac:dyDescent="0.2">
      <c r="A947" s="318" t="s">
        <v>803</v>
      </c>
      <c r="B947" s="319"/>
      <c r="C947" s="332"/>
      <c r="D947" s="148"/>
      <c r="E947" s="148"/>
      <c r="F947" s="148"/>
      <c r="G947" s="148">
        <v>1</v>
      </c>
      <c r="H947" s="148">
        <v>7</v>
      </c>
      <c r="I947" s="148"/>
      <c r="J947" s="170">
        <f t="shared" si="43"/>
        <v>7</v>
      </c>
      <c r="K947" s="10"/>
      <c r="L947" s="10"/>
      <c r="M947" s="10"/>
      <c r="N947" s="10"/>
      <c r="O947" s="10"/>
      <c r="P947" s="10"/>
      <c r="Q947" s="10"/>
      <c r="R947" s="10"/>
      <c r="S947" s="10"/>
      <c r="T947" s="10"/>
      <c r="U947" s="10"/>
      <c r="V947" s="10"/>
      <c r="W947" s="10"/>
      <c r="X947" s="10"/>
      <c r="Y947" s="10"/>
    </row>
    <row r="948" spans="1:25" ht="16.5" customHeight="1" x14ac:dyDescent="0.2">
      <c r="A948" s="318" t="s">
        <v>804</v>
      </c>
      <c r="B948" s="319"/>
      <c r="C948" s="332"/>
      <c r="D948" s="148"/>
      <c r="E948" s="148"/>
      <c r="F948" s="148"/>
      <c r="G948" s="148">
        <v>1</v>
      </c>
      <c r="H948" s="148">
        <v>7</v>
      </c>
      <c r="I948" s="148"/>
      <c r="J948" s="170">
        <f t="shared" si="43"/>
        <v>7</v>
      </c>
      <c r="K948" s="10"/>
      <c r="L948" s="10"/>
      <c r="M948" s="10"/>
      <c r="N948" s="10"/>
      <c r="O948" s="10"/>
      <c r="P948" s="10"/>
      <c r="Q948" s="10"/>
      <c r="R948" s="10"/>
      <c r="S948" s="10"/>
      <c r="T948" s="10"/>
      <c r="U948" s="10"/>
      <c r="V948" s="10"/>
      <c r="W948" s="10"/>
      <c r="X948" s="10"/>
      <c r="Y948" s="10"/>
    </row>
    <row r="949" spans="1:25" ht="16.5" customHeight="1" x14ac:dyDescent="0.2">
      <c r="A949" s="342" t="str">
        <f>"TOTAL - "&amp;'Planilha orçamentária'!F74</f>
        <v>TOTAL - UN</v>
      </c>
      <c r="B949" s="342"/>
      <c r="C949" s="342"/>
      <c r="D949" s="342"/>
      <c r="E949" s="342"/>
      <c r="F949" s="342"/>
      <c r="G949" s="342"/>
      <c r="H949" s="342"/>
      <c r="I949" s="342"/>
      <c r="J949" s="149">
        <f>SUM(J933:J948)</f>
        <v>112</v>
      </c>
      <c r="K949" s="10"/>
      <c r="L949" s="10"/>
      <c r="M949" s="10"/>
      <c r="N949" s="10"/>
      <c r="O949" s="10"/>
      <c r="P949" s="10"/>
      <c r="Q949" s="10"/>
      <c r="R949" s="10"/>
      <c r="S949" s="10"/>
      <c r="T949" s="10"/>
      <c r="U949" s="10"/>
      <c r="V949" s="10"/>
      <c r="W949" s="10"/>
      <c r="X949" s="10"/>
      <c r="Y949" s="10"/>
    </row>
    <row r="950" spans="1:25" ht="16.5" customHeight="1" x14ac:dyDescent="0.2">
      <c r="A950" s="184" t="str">
        <f>'Planilha orçamentária'!A75</f>
        <v>10.9</v>
      </c>
      <c r="B950" s="343" t="str">
        <f>'Planilha orçamentária'!D75</f>
        <v>Torneira metálica para tanque, acabamento cromado, bico com rosca, fornecimento e instalação</v>
      </c>
      <c r="C950" s="344"/>
      <c r="D950" s="344"/>
      <c r="E950" s="344"/>
      <c r="F950" s="344"/>
      <c r="G950" s="344"/>
      <c r="H950" s="344"/>
      <c r="I950" s="344"/>
      <c r="J950" s="344"/>
      <c r="K950" s="10"/>
      <c r="L950" s="10"/>
      <c r="M950" s="10"/>
      <c r="N950" s="10"/>
      <c r="O950" s="10"/>
      <c r="P950" s="10"/>
      <c r="Q950" s="10"/>
      <c r="R950" s="10"/>
      <c r="S950" s="10"/>
      <c r="T950" s="10"/>
      <c r="U950" s="10"/>
      <c r="V950" s="10"/>
      <c r="W950" s="10"/>
      <c r="X950" s="10"/>
      <c r="Y950" s="10"/>
    </row>
    <row r="951" spans="1:25" ht="25.5" customHeight="1" x14ac:dyDescent="0.2">
      <c r="A951" s="327" t="s">
        <v>120</v>
      </c>
      <c r="B951" s="328"/>
      <c r="C951" s="328"/>
      <c r="D951" s="182" t="s">
        <v>121</v>
      </c>
      <c r="E951" s="182" t="s">
        <v>122</v>
      </c>
      <c r="F951" s="181" t="s">
        <v>123</v>
      </c>
      <c r="G951" s="181" t="s">
        <v>124</v>
      </c>
      <c r="H951" s="181" t="s">
        <v>489</v>
      </c>
      <c r="I951" s="182" t="s">
        <v>126</v>
      </c>
      <c r="J951" s="182" t="s">
        <v>113</v>
      </c>
      <c r="K951" s="10"/>
      <c r="L951" s="10"/>
      <c r="M951" s="10"/>
      <c r="N951" s="10"/>
      <c r="O951" s="10"/>
      <c r="P951" s="10"/>
      <c r="Q951" s="10"/>
      <c r="R951" s="10"/>
      <c r="S951" s="10"/>
      <c r="T951" s="10"/>
      <c r="U951" s="10"/>
      <c r="V951" s="10"/>
      <c r="W951" s="10"/>
      <c r="X951" s="10"/>
      <c r="Y951" s="10"/>
    </row>
    <row r="952" spans="1:25" ht="16.5" customHeight="1" x14ac:dyDescent="0.2">
      <c r="A952" s="318" t="s">
        <v>671</v>
      </c>
      <c r="B952" s="319"/>
      <c r="C952" s="332"/>
      <c r="D952" s="148"/>
      <c r="E952" s="148"/>
      <c r="F952" s="148"/>
      <c r="G952" s="148">
        <v>1</v>
      </c>
      <c r="H952" s="148">
        <v>7</v>
      </c>
      <c r="I952" s="148"/>
      <c r="J952" s="170">
        <f t="shared" ref="J952:J967" si="44">PRODUCT(D952:H952)-I952</f>
        <v>7</v>
      </c>
      <c r="K952" s="10"/>
      <c r="L952" s="10"/>
      <c r="M952" s="10"/>
      <c r="N952" s="10"/>
      <c r="O952" s="10"/>
      <c r="P952" s="10"/>
      <c r="Q952" s="10"/>
      <c r="R952" s="10"/>
      <c r="S952" s="10"/>
      <c r="T952" s="10"/>
      <c r="U952" s="10"/>
      <c r="V952" s="10"/>
      <c r="W952" s="10"/>
      <c r="X952" s="10"/>
      <c r="Y952" s="10"/>
    </row>
    <row r="953" spans="1:25" ht="16.5" customHeight="1" x14ac:dyDescent="0.2">
      <c r="A953" s="318" t="s">
        <v>672</v>
      </c>
      <c r="B953" s="319"/>
      <c r="C953" s="332"/>
      <c r="D953" s="148"/>
      <c r="E953" s="148"/>
      <c r="F953" s="148"/>
      <c r="G953" s="148">
        <v>1</v>
      </c>
      <c r="H953" s="148">
        <v>7</v>
      </c>
      <c r="I953" s="148"/>
      <c r="J953" s="170">
        <f t="shared" si="44"/>
        <v>7</v>
      </c>
      <c r="K953" s="10"/>
      <c r="L953" s="10"/>
      <c r="M953" s="10"/>
      <c r="N953" s="10"/>
      <c r="O953" s="10"/>
      <c r="P953" s="10"/>
      <c r="Q953" s="10"/>
      <c r="R953" s="10"/>
      <c r="S953" s="10"/>
      <c r="T953" s="10"/>
      <c r="U953" s="10"/>
      <c r="V953" s="10"/>
      <c r="W953" s="10"/>
      <c r="X953" s="10"/>
      <c r="Y953" s="10"/>
    </row>
    <row r="954" spans="1:25" ht="16.5" customHeight="1" x14ac:dyDescent="0.2">
      <c r="A954" s="318" t="s">
        <v>673</v>
      </c>
      <c r="B954" s="319"/>
      <c r="C954" s="332"/>
      <c r="D954" s="148"/>
      <c r="E954" s="148"/>
      <c r="F954" s="148"/>
      <c r="G954" s="148">
        <v>1</v>
      </c>
      <c r="H954" s="148">
        <v>7</v>
      </c>
      <c r="I954" s="148"/>
      <c r="J954" s="170">
        <f t="shared" si="44"/>
        <v>7</v>
      </c>
      <c r="K954" s="10"/>
      <c r="L954" s="10"/>
      <c r="M954" s="10"/>
      <c r="N954" s="10"/>
      <c r="O954" s="10"/>
      <c r="P954" s="10"/>
      <c r="Q954" s="10"/>
      <c r="R954" s="10"/>
      <c r="S954" s="10"/>
      <c r="T954" s="10"/>
      <c r="U954" s="10"/>
      <c r="V954" s="10"/>
      <c r="W954" s="10"/>
      <c r="X954" s="10"/>
      <c r="Y954" s="10"/>
    </row>
    <row r="955" spans="1:25" ht="16.5" customHeight="1" x14ac:dyDescent="0.2">
      <c r="A955" s="318" t="s">
        <v>766</v>
      </c>
      <c r="B955" s="319"/>
      <c r="C955" s="332"/>
      <c r="D955" s="148"/>
      <c r="E955" s="148"/>
      <c r="F955" s="148"/>
      <c r="G955" s="148">
        <v>1</v>
      </c>
      <c r="H955" s="148">
        <v>7</v>
      </c>
      <c r="I955" s="148"/>
      <c r="J955" s="170">
        <f t="shared" si="44"/>
        <v>7</v>
      </c>
      <c r="K955" s="10"/>
      <c r="L955" s="10"/>
      <c r="M955" s="10"/>
      <c r="N955" s="10"/>
      <c r="O955" s="10"/>
      <c r="P955" s="10"/>
      <c r="Q955" s="10"/>
      <c r="R955" s="10"/>
      <c r="S955" s="10"/>
      <c r="T955" s="10"/>
      <c r="U955" s="10"/>
      <c r="V955" s="10"/>
      <c r="W955" s="10"/>
      <c r="X955" s="10"/>
      <c r="Y955" s="10"/>
    </row>
    <row r="956" spans="1:25" ht="16.5" customHeight="1" x14ac:dyDescent="0.2">
      <c r="A956" s="318" t="s">
        <v>794</v>
      </c>
      <c r="B956" s="319"/>
      <c r="C956" s="332"/>
      <c r="D956" s="148"/>
      <c r="E956" s="148"/>
      <c r="F956" s="148"/>
      <c r="G956" s="148">
        <v>1</v>
      </c>
      <c r="H956" s="148">
        <v>7</v>
      </c>
      <c r="I956" s="148"/>
      <c r="J956" s="170">
        <f t="shared" si="44"/>
        <v>7</v>
      </c>
      <c r="K956" s="10"/>
      <c r="L956" s="10"/>
      <c r="M956" s="10"/>
      <c r="N956" s="10"/>
      <c r="O956" s="10"/>
      <c r="P956" s="10"/>
      <c r="Q956" s="10"/>
      <c r="R956" s="10"/>
      <c r="S956" s="10"/>
      <c r="T956" s="10"/>
      <c r="U956" s="10"/>
      <c r="V956" s="10"/>
      <c r="W956" s="10"/>
      <c r="X956" s="10"/>
      <c r="Y956" s="10"/>
    </row>
    <row r="957" spans="1:25" ht="16.5" customHeight="1" x14ac:dyDescent="0.2">
      <c r="A957" s="318" t="s">
        <v>795</v>
      </c>
      <c r="B957" s="319"/>
      <c r="C957" s="332"/>
      <c r="D957" s="148"/>
      <c r="E957" s="148"/>
      <c r="F957" s="148"/>
      <c r="G957" s="148">
        <v>1</v>
      </c>
      <c r="H957" s="148">
        <v>7</v>
      </c>
      <c r="I957" s="148"/>
      <c r="J957" s="170">
        <f t="shared" si="44"/>
        <v>7</v>
      </c>
      <c r="K957" s="10"/>
      <c r="L957" s="10"/>
      <c r="M957" s="10"/>
      <c r="N957" s="10"/>
      <c r="O957" s="10"/>
      <c r="P957" s="10"/>
      <c r="Q957" s="10"/>
      <c r="R957" s="10"/>
      <c r="S957" s="10"/>
      <c r="T957" s="10"/>
      <c r="U957" s="10"/>
      <c r="V957" s="10"/>
      <c r="W957" s="10"/>
      <c r="X957" s="10"/>
      <c r="Y957" s="10"/>
    </row>
    <row r="958" spans="1:25" ht="16.5" customHeight="1" x14ac:dyDescent="0.2">
      <c r="A958" s="318" t="s">
        <v>796</v>
      </c>
      <c r="B958" s="319"/>
      <c r="C958" s="332"/>
      <c r="D958" s="148"/>
      <c r="E958" s="148"/>
      <c r="F958" s="148"/>
      <c r="G958" s="148">
        <v>1</v>
      </c>
      <c r="H958" s="148">
        <v>7</v>
      </c>
      <c r="I958" s="148"/>
      <c r="J958" s="170">
        <f t="shared" si="44"/>
        <v>7</v>
      </c>
      <c r="K958" s="10"/>
      <c r="L958" s="10"/>
      <c r="M958" s="10"/>
      <c r="N958" s="10"/>
      <c r="O958" s="10"/>
      <c r="P958" s="10"/>
      <c r="Q958" s="10"/>
      <c r="R958" s="10"/>
      <c r="S958" s="10"/>
      <c r="T958" s="10"/>
      <c r="U958" s="10"/>
      <c r="V958" s="10"/>
      <c r="W958" s="10"/>
      <c r="X958" s="10"/>
      <c r="Y958" s="10"/>
    </row>
    <row r="959" spans="1:25" ht="16.5" customHeight="1" x14ac:dyDescent="0.2">
      <c r="A959" s="318" t="s">
        <v>797</v>
      </c>
      <c r="B959" s="319"/>
      <c r="C959" s="332"/>
      <c r="D959" s="148"/>
      <c r="E959" s="148"/>
      <c r="F959" s="148"/>
      <c r="G959" s="148">
        <v>1</v>
      </c>
      <c r="H959" s="148">
        <v>7</v>
      </c>
      <c r="I959" s="148"/>
      <c r="J959" s="170">
        <f t="shared" si="44"/>
        <v>7</v>
      </c>
      <c r="K959" s="10"/>
      <c r="L959" s="10"/>
      <c r="M959" s="10"/>
      <c r="N959" s="10"/>
      <c r="O959" s="10"/>
      <c r="P959" s="10"/>
      <c r="Q959" s="10"/>
      <c r="R959" s="10"/>
      <c r="S959" s="10"/>
      <c r="T959" s="10"/>
      <c r="U959" s="10"/>
      <c r="V959" s="10"/>
      <c r="W959" s="10"/>
      <c r="X959" s="10"/>
      <c r="Y959" s="10"/>
    </row>
    <row r="960" spans="1:25" ht="16.5" customHeight="1" x14ac:dyDescent="0.2">
      <c r="A960" s="318" t="s">
        <v>798</v>
      </c>
      <c r="B960" s="319"/>
      <c r="C960" s="332"/>
      <c r="D960" s="148"/>
      <c r="E960" s="148"/>
      <c r="F960" s="148"/>
      <c r="G960" s="148">
        <v>1</v>
      </c>
      <c r="H960" s="148">
        <v>7</v>
      </c>
      <c r="I960" s="148"/>
      <c r="J960" s="170">
        <f t="shared" si="44"/>
        <v>7</v>
      </c>
      <c r="K960" s="10"/>
      <c r="L960" s="10"/>
      <c r="M960" s="10"/>
      <c r="N960" s="10"/>
      <c r="O960" s="10"/>
      <c r="P960" s="10"/>
      <c r="Q960" s="10"/>
      <c r="R960" s="10"/>
      <c r="S960" s="10"/>
      <c r="T960" s="10"/>
      <c r="U960" s="10"/>
      <c r="V960" s="10"/>
      <c r="W960" s="10"/>
      <c r="X960" s="10"/>
      <c r="Y960" s="10"/>
    </row>
    <row r="961" spans="1:25" ht="16.5" customHeight="1" x14ac:dyDescent="0.2">
      <c r="A961" s="318" t="s">
        <v>799</v>
      </c>
      <c r="B961" s="319"/>
      <c r="C961" s="332"/>
      <c r="D961" s="148"/>
      <c r="E961" s="148"/>
      <c r="F961" s="148"/>
      <c r="G961" s="148">
        <v>1</v>
      </c>
      <c r="H961" s="148">
        <v>7</v>
      </c>
      <c r="I961" s="148"/>
      <c r="J961" s="170">
        <f t="shared" si="44"/>
        <v>7</v>
      </c>
      <c r="K961" s="10"/>
      <c r="L961" s="10"/>
      <c r="M961" s="10"/>
      <c r="N961" s="10"/>
      <c r="O961" s="10"/>
      <c r="P961" s="10"/>
      <c r="Q961" s="10"/>
      <c r="R961" s="10"/>
      <c r="S961" s="10"/>
      <c r="T961" s="10"/>
      <c r="U961" s="10"/>
      <c r="V961" s="10"/>
      <c r="W961" s="10"/>
      <c r="X961" s="10"/>
      <c r="Y961" s="10"/>
    </row>
    <row r="962" spans="1:25" ht="16.5" customHeight="1" x14ac:dyDescent="0.2">
      <c r="A962" s="318" t="s">
        <v>681</v>
      </c>
      <c r="B962" s="319"/>
      <c r="C962" s="332"/>
      <c r="D962" s="148"/>
      <c r="E962" s="148"/>
      <c r="F962" s="148"/>
      <c r="G962" s="148">
        <v>1</v>
      </c>
      <c r="H962" s="148">
        <v>7</v>
      </c>
      <c r="I962" s="148"/>
      <c r="J962" s="170">
        <f t="shared" si="44"/>
        <v>7</v>
      </c>
      <c r="K962" s="10"/>
      <c r="L962" s="10"/>
      <c r="M962" s="10"/>
      <c r="N962" s="10"/>
      <c r="O962" s="10"/>
      <c r="P962" s="10"/>
      <c r="Q962" s="10"/>
      <c r="R962" s="10"/>
      <c r="S962" s="10"/>
      <c r="T962" s="10"/>
      <c r="U962" s="10"/>
      <c r="V962" s="10"/>
      <c r="W962" s="10"/>
      <c r="X962" s="10"/>
      <c r="Y962" s="10"/>
    </row>
    <row r="963" spans="1:25" ht="16.5" customHeight="1" x14ac:dyDescent="0.2">
      <c r="A963" s="318" t="s">
        <v>800</v>
      </c>
      <c r="B963" s="319"/>
      <c r="C963" s="332"/>
      <c r="D963" s="148"/>
      <c r="E963" s="148"/>
      <c r="F963" s="148"/>
      <c r="G963" s="148">
        <v>1</v>
      </c>
      <c r="H963" s="148">
        <v>7</v>
      </c>
      <c r="I963" s="148"/>
      <c r="J963" s="170">
        <f t="shared" si="44"/>
        <v>7</v>
      </c>
      <c r="K963" s="10"/>
      <c r="L963" s="10"/>
      <c r="M963" s="10"/>
      <c r="N963" s="10"/>
      <c r="O963" s="10"/>
      <c r="P963" s="10"/>
      <c r="Q963" s="10"/>
      <c r="R963" s="10"/>
      <c r="S963" s="10"/>
      <c r="T963" s="10"/>
      <c r="U963" s="10"/>
      <c r="V963" s="10"/>
      <c r="W963" s="10"/>
      <c r="X963" s="10"/>
      <c r="Y963" s="10"/>
    </row>
    <row r="964" spans="1:25" ht="16.5" customHeight="1" x14ac:dyDescent="0.2">
      <c r="A964" s="318" t="s">
        <v>801</v>
      </c>
      <c r="B964" s="319"/>
      <c r="C964" s="332"/>
      <c r="D964" s="148"/>
      <c r="E964" s="148"/>
      <c r="F964" s="148"/>
      <c r="G964" s="148">
        <v>1</v>
      </c>
      <c r="H964" s="148">
        <v>7</v>
      </c>
      <c r="I964" s="148"/>
      <c r="J964" s="170">
        <f t="shared" si="44"/>
        <v>7</v>
      </c>
      <c r="K964" s="10"/>
      <c r="L964" s="10"/>
      <c r="M964" s="10"/>
      <c r="N964" s="10"/>
      <c r="O964" s="10"/>
      <c r="P964" s="10"/>
      <c r="Q964" s="10"/>
      <c r="R964" s="10"/>
      <c r="S964" s="10"/>
      <c r="T964" s="10"/>
      <c r="U964" s="10"/>
      <c r="V964" s="10"/>
      <c r="W964" s="10"/>
      <c r="X964" s="10"/>
      <c r="Y964" s="10"/>
    </row>
    <row r="965" spans="1:25" ht="16.5" customHeight="1" x14ac:dyDescent="0.2">
      <c r="A965" s="318" t="s">
        <v>802</v>
      </c>
      <c r="B965" s="319"/>
      <c r="C965" s="332"/>
      <c r="D965" s="148"/>
      <c r="E965" s="148"/>
      <c r="F965" s="148"/>
      <c r="G965" s="148">
        <v>1</v>
      </c>
      <c r="H965" s="148">
        <v>7</v>
      </c>
      <c r="I965" s="148"/>
      <c r="J965" s="170">
        <f t="shared" si="44"/>
        <v>7</v>
      </c>
      <c r="K965" s="10"/>
      <c r="L965" s="10"/>
      <c r="M965" s="10"/>
      <c r="N965" s="10"/>
      <c r="O965" s="10"/>
      <c r="P965" s="10"/>
      <c r="Q965" s="10"/>
      <c r="R965" s="10"/>
      <c r="S965" s="10"/>
      <c r="T965" s="10"/>
      <c r="U965" s="10"/>
      <c r="V965" s="10"/>
      <c r="W965" s="10"/>
      <c r="X965" s="10"/>
      <c r="Y965" s="10"/>
    </row>
    <row r="966" spans="1:25" ht="16.5" customHeight="1" x14ac:dyDescent="0.2">
      <c r="A966" s="318" t="s">
        <v>803</v>
      </c>
      <c r="B966" s="319"/>
      <c r="C966" s="332"/>
      <c r="D966" s="148"/>
      <c r="E966" s="148"/>
      <c r="F966" s="148"/>
      <c r="G966" s="148">
        <v>1</v>
      </c>
      <c r="H966" s="148">
        <v>7</v>
      </c>
      <c r="I966" s="148"/>
      <c r="J966" s="170">
        <f t="shared" si="44"/>
        <v>7</v>
      </c>
      <c r="K966" s="10"/>
      <c r="L966" s="10"/>
      <c r="M966" s="10"/>
      <c r="N966" s="10"/>
      <c r="O966" s="10"/>
      <c r="P966" s="10"/>
      <c r="Q966" s="10"/>
      <c r="R966" s="10"/>
      <c r="S966" s="10"/>
      <c r="T966" s="10"/>
      <c r="U966" s="10"/>
      <c r="V966" s="10"/>
      <c r="W966" s="10"/>
      <c r="X966" s="10"/>
      <c r="Y966" s="10"/>
    </row>
    <row r="967" spans="1:25" ht="16.5" customHeight="1" x14ac:dyDescent="0.2">
      <c r="A967" s="318" t="s">
        <v>804</v>
      </c>
      <c r="B967" s="319"/>
      <c r="C967" s="332"/>
      <c r="D967" s="148"/>
      <c r="E967" s="148"/>
      <c r="F967" s="148"/>
      <c r="G967" s="148">
        <v>1</v>
      </c>
      <c r="H967" s="148">
        <v>7</v>
      </c>
      <c r="I967" s="148"/>
      <c r="J967" s="170">
        <f t="shared" si="44"/>
        <v>7</v>
      </c>
      <c r="K967" s="10"/>
      <c r="L967" s="10"/>
      <c r="M967" s="10"/>
      <c r="N967" s="10"/>
      <c r="O967" s="10"/>
      <c r="P967" s="10"/>
      <c r="Q967" s="10"/>
      <c r="R967" s="10"/>
      <c r="S967" s="10"/>
      <c r="T967" s="10"/>
      <c r="U967" s="10"/>
      <c r="V967" s="10"/>
      <c r="W967" s="10"/>
      <c r="X967" s="10"/>
      <c r="Y967" s="10"/>
    </row>
    <row r="968" spans="1:25" ht="16.5" customHeight="1" x14ac:dyDescent="0.2">
      <c r="A968" s="342" t="str">
        <f>"TOTAL - "&amp;'Planilha orçamentária'!F75</f>
        <v>TOTAL - UN</v>
      </c>
      <c r="B968" s="342"/>
      <c r="C968" s="342"/>
      <c r="D968" s="342"/>
      <c r="E968" s="342"/>
      <c r="F968" s="342"/>
      <c r="G968" s="342"/>
      <c r="H968" s="342"/>
      <c r="I968" s="342"/>
      <c r="J968" s="149">
        <f>SUM(J952:J967)</f>
        <v>112</v>
      </c>
      <c r="K968" s="10"/>
      <c r="L968" s="10"/>
      <c r="M968" s="10"/>
      <c r="N968" s="10"/>
      <c r="O968" s="10"/>
      <c r="P968" s="10"/>
      <c r="Q968" s="10"/>
      <c r="R968" s="10"/>
      <c r="S968" s="10"/>
      <c r="T968" s="10"/>
      <c r="U968" s="10"/>
      <c r="V968" s="10"/>
      <c r="W968" s="10"/>
      <c r="X968" s="10"/>
      <c r="Y968" s="10"/>
    </row>
    <row r="969" spans="1:25" ht="16.5" customHeight="1" x14ac:dyDescent="0.2">
      <c r="A969" s="184" t="str">
        <f>'Planilha orçamentária'!A76</f>
        <v>10.10</v>
      </c>
      <c r="B969" s="343" t="str">
        <f>'Planilha orçamentária'!D76</f>
        <v>Assento branco para vaso</v>
      </c>
      <c r="C969" s="344"/>
      <c r="D969" s="344"/>
      <c r="E969" s="344"/>
      <c r="F969" s="344"/>
      <c r="G969" s="344"/>
      <c r="H969" s="344"/>
      <c r="I969" s="344"/>
      <c r="J969" s="344"/>
      <c r="K969" s="10"/>
      <c r="L969" s="10"/>
      <c r="M969" s="10"/>
      <c r="N969" s="10"/>
      <c r="O969" s="10"/>
      <c r="P969" s="10"/>
      <c r="Q969" s="10"/>
      <c r="R969" s="10"/>
      <c r="S969" s="10"/>
      <c r="T969" s="10"/>
      <c r="U969" s="10"/>
      <c r="V969" s="10"/>
      <c r="W969" s="10"/>
      <c r="X969" s="10"/>
      <c r="Y969" s="10"/>
    </row>
    <row r="970" spans="1:25" ht="25.5" customHeight="1" x14ac:dyDescent="0.2">
      <c r="A970" s="327" t="s">
        <v>120</v>
      </c>
      <c r="B970" s="328"/>
      <c r="C970" s="328"/>
      <c r="D970" s="182" t="s">
        <v>121</v>
      </c>
      <c r="E970" s="182" t="s">
        <v>122</v>
      </c>
      <c r="F970" s="181" t="s">
        <v>123</v>
      </c>
      <c r="G970" s="181" t="s">
        <v>124</v>
      </c>
      <c r="H970" s="181" t="s">
        <v>489</v>
      </c>
      <c r="I970" s="182" t="s">
        <v>126</v>
      </c>
      <c r="J970" s="182" t="s">
        <v>113</v>
      </c>
      <c r="K970" s="10"/>
      <c r="L970" s="10"/>
      <c r="M970" s="10"/>
      <c r="N970" s="10"/>
      <c r="O970" s="10"/>
      <c r="P970" s="10"/>
      <c r="Q970" s="10"/>
      <c r="R970" s="10"/>
      <c r="S970" s="10"/>
      <c r="T970" s="10"/>
      <c r="U970" s="10"/>
      <c r="V970" s="10"/>
      <c r="W970" s="10"/>
      <c r="X970" s="10"/>
      <c r="Y970" s="10"/>
    </row>
    <row r="971" spans="1:25" ht="16.5" customHeight="1" x14ac:dyDescent="0.2">
      <c r="A971" s="318" t="s">
        <v>671</v>
      </c>
      <c r="B971" s="319"/>
      <c r="C971" s="332"/>
      <c r="D971" s="148"/>
      <c r="E971" s="148"/>
      <c r="F971" s="148"/>
      <c r="G971" s="148">
        <v>1</v>
      </c>
      <c r="H971" s="148">
        <v>7</v>
      </c>
      <c r="I971" s="148"/>
      <c r="J971" s="170">
        <f t="shared" ref="J971:J985" si="45">PRODUCT(D971:H971)-I971</f>
        <v>7</v>
      </c>
      <c r="K971" s="10"/>
      <c r="L971" s="10"/>
      <c r="M971" s="10"/>
      <c r="N971" s="10"/>
      <c r="O971" s="10"/>
      <c r="P971" s="10"/>
      <c r="Q971" s="10"/>
      <c r="R971" s="10"/>
      <c r="S971" s="10"/>
      <c r="T971" s="10"/>
      <c r="U971" s="10"/>
      <c r="V971" s="10"/>
      <c r="W971" s="10"/>
      <c r="X971" s="10"/>
      <c r="Y971" s="10"/>
    </row>
    <row r="972" spans="1:25" ht="16.5" customHeight="1" x14ac:dyDescent="0.2">
      <c r="A972" s="318" t="s">
        <v>672</v>
      </c>
      <c r="B972" s="319"/>
      <c r="C972" s="332"/>
      <c r="D972" s="148"/>
      <c r="E972" s="148"/>
      <c r="F972" s="148"/>
      <c r="G972" s="148">
        <v>1</v>
      </c>
      <c r="H972" s="148">
        <v>7</v>
      </c>
      <c r="I972" s="148"/>
      <c r="J972" s="170">
        <f t="shared" si="45"/>
        <v>7</v>
      </c>
      <c r="K972" s="10"/>
      <c r="L972" s="10"/>
      <c r="M972" s="10"/>
      <c r="N972" s="10"/>
      <c r="O972" s="10"/>
      <c r="P972" s="10"/>
      <c r="Q972" s="10"/>
      <c r="R972" s="10"/>
      <c r="S972" s="10"/>
      <c r="T972" s="10"/>
      <c r="U972" s="10"/>
      <c r="V972" s="10"/>
      <c r="W972" s="10"/>
      <c r="X972" s="10"/>
      <c r="Y972" s="10"/>
    </row>
    <row r="973" spans="1:25" ht="16.5" customHeight="1" x14ac:dyDescent="0.2">
      <c r="A973" s="318" t="s">
        <v>766</v>
      </c>
      <c r="B973" s="319"/>
      <c r="C973" s="332"/>
      <c r="D973" s="148"/>
      <c r="E973" s="148"/>
      <c r="F973" s="148"/>
      <c r="G973" s="148">
        <v>1</v>
      </c>
      <c r="H973" s="148">
        <v>7</v>
      </c>
      <c r="I973" s="148"/>
      <c r="J973" s="170">
        <f t="shared" si="45"/>
        <v>7</v>
      </c>
      <c r="K973" s="10"/>
      <c r="L973" s="10"/>
      <c r="M973" s="10"/>
      <c r="N973" s="10"/>
      <c r="O973" s="10"/>
      <c r="P973" s="10"/>
      <c r="Q973" s="10"/>
      <c r="R973" s="10"/>
      <c r="S973" s="10"/>
      <c r="T973" s="10"/>
      <c r="U973" s="10"/>
      <c r="V973" s="10"/>
      <c r="W973" s="10"/>
      <c r="X973" s="10"/>
      <c r="Y973" s="10"/>
    </row>
    <row r="974" spans="1:25" ht="16.5" customHeight="1" x14ac:dyDescent="0.2">
      <c r="A974" s="318" t="s">
        <v>794</v>
      </c>
      <c r="B974" s="319"/>
      <c r="C974" s="332"/>
      <c r="D974" s="148"/>
      <c r="E974" s="148"/>
      <c r="F974" s="148"/>
      <c r="G974" s="148">
        <v>1</v>
      </c>
      <c r="H974" s="148">
        <v>7</v>
      </c>
      <c r="I974" s="148"/>
      <c r="J974" s="170">
        <f t="shared" si="45"/>
        <v>7</v>
      </c>
      <c r="K974" s="10"/>
      <c r="L974" s="10"/>
      <c r="M974" s="10"/>
      <c r="N974" s="10"/>
      <c r="O974" s="10"/>
      <c r="P974" s="10"/>
      <c r="Q974" s="10"/>
      <c r="R974" s="10"/>
      <c r="S974" s="10"/>
      <c r="T974" s="10"/>
      <c r="U974" s="10"/>
      <c r="V974" s="10"/>
      <c r="W974" s="10"/>
      <c r="X974" s="10"/>
      <c r="Y974" s="10"/>
    </row>
    <row r="975" spans="1:25" ht="16.5" customHeight="1" x14ac:dyDescent="0.2">
      <c r="A975" s="318" t="s">
        <v>795</v>
      </c>
      <c r="B975" s="319"/>
      <c r="C975" s="332"/>
      <c r="D975" s="148"/>
      <c r="E975" s="148"/>
      <c r="F975" s="148"/>
      <c r="G975" s="148">
        <v>1</v>
      </c>
      <c r="H975" s="148">
        <v>7</v>
      </c>
      <c r="I975" s="148"/>
      <c r="J975" s="170">
        <f t="shared" si="45"/>
        <v>7</v>
      </c>
      <c r="K975" s="10"/>
      <c r="L975" s="10"/>
      <c r="M975" s="10"/>
      <c r="N975" s="10"/>
      <c r="O975" s="10"/>
      <c r="P975" s="10"/>
      <c r="Q975" s="10"/>
      <c r="R975" s="10"/>
      <c r="S975" s="10"/>
      <c r="T975" s="10"/>
      <c r="U975" s="10"/>
      <c r="V975" s="10"/>
      <c r="W975" s="10"/>
      <c r="X975" s="10"/>
      <c r="Y975" s="10"/>
    </row>
    <row r="976" spans="1:25" ht="16.5" customHeight="1" x14ac:dyDescent="0.2">
      <c r="A976" s="318" t="s">
        <v>796</v>
      </c>
      <c r="B976" s="319"/>
      <c r="C976" s="332"/>
      <c r="D976" s="148"/>
      <c r="E976" s="148"/>
      <c r="F976" s="148"/>
      <c r="G976" s="148">
        <v>1</v>
      </c>
      <c r="H976" s="148">
        <v>7</v>
      </c>
      <c r="I976" s="148"/>
      <c r="J976" s="170">
        <f t="shared" si="45"/>
        <v>7</v>
      </c>
      <c r="K976" s="10"/>
      <c r="L976" s="10"/>
      <c r="M976" s="10"/>
      <c r="N976" s="10"/>
      <c r="O976" s="10"/>
      <c r="P976" s="10"/>
      <c r="Q976" s="10"/>
      <c r="R976" s="10"/>
      <c r="S976" s="10"/>
      <c r="T976" s="10"/>
      <c r="U976" s="10"/>
      <c r="V976" s="10"/>
      <c r="W976" s="10"/>
      <c r="X976" s="10"/>
      <c r="Y976" s="10"/>
    </row>
    <row r="977" spans="1:25" ht="16.5" customHeight="1" x14ac:dyDescent="0.2">
      <c r="A977" s="318" t="s">
        <v>797</v>
      </c>
      <c r="B977" s="319"/>
      <c r="C977" s="332"/>
      <c r="D977" s="148"/>
      <c r="E977" s="148"/>
      <c r="F977" s="148"/>
      <c r="G977" s="148">
        <v>1</v>
      </c>
      <c r="H977" s="148">
        <v>7</v>
      </c>
      <c r="I977" s="148"/>
      <c r="J977" s="170">
        <f t="shared" si="45"/>
        <v>7</v>
      </c>
      <c r="K977" s="10"/>
      <c r="L977" s="10"/>
      <c r="M977" s="10"/>
      <c r="N977" s="10"/>
      <c r="O977" s="10"/>
      <c r="P977" s="10"/>
      <c r="Q977" s="10"/>
      <c r="R977" s="10"/>
      <c r="S977" s="10"/>
      <c r="T977" s="10"/>
      <c r="U977" s="10"/>
      <c r="V977" s="10"/>
      <c r="W977" s="10"/>
      <c r="X977" s="10"/>
      <c r="Y977" s="10"/>
    </row>
    <row r="978" spans="1:25" ht="16.5" customHeight="1" x14ac:dyDescent="0.2">
      <c r="A978" s="318" t="s">
        <v>798</v>
      </c>
      <c r="B978" s="319"/>
      <c r="C978" s="332"/>
      <c r="D978" s="148"/>
      <c r="E978" s="148"/>
      <c r="F978" s="148"/>
      <c r="G978" s="148">
        <v>1</v>
      </c>
      <c r="H978" s="148">
        <v>7</v>
      </c>
      <c r="I978" s="148"/>
      <c r="J978" s="170">
        <f t="shared" si="45"/>
        <v>7</v>
      </c>
      <c r="K978" s="10"/>
      <c r="L978" s="10"/>
      <c r="M978" s="10"/>
      <c r="N978" s="10"/>
      <c r="O978" s="10"/>
      <c r="P978" s="10"/>
      <c r="Q978" s="10"/>
      <c r="R978" s="10"/>
      <c r="S978" s="10"/>
      <c r="T978" s="10"/>
      <c r="U978" s="10"/>
      <c r="V978" s="10"/>
      <c r="W978" s="10"/>
      <c r="X978" s="10"/>
      <c r="Y978" s="10"/>
    </row>
    <row r="979" spans="1:25" ht="16.5" customHeight="1" x14ac:dyDescent="0.2">
      <c r="A979" s="318" t="s">
        <v>799</v>
      </c>
      <c r="B979" s="319"/>
      <c r="C979" s="332"/>
      <c r="D979" s="148"/>
      <c r="E979" s="148"/>
      <c r="F979" s="148"/>
      <c r="G979" s="148">
        <v>1</v>
      </c>
      <c r="H979" s="148">
        <v>7</v>
      </c>
      <c r="I979" s="148"/>
      <c r="J979" s="170">
        <f t="shared" si="45"/>
        <v>7</v>
      </c>
      <c r="K979" s="10"/>
      <c r="L979" s="10"/>
      <c r="M979" s="10"/>
      <c r="N979" s="10"/>
      <c r="O979" s="10"/>
      <c r="P979" s="10"/>
      <c r="Q979" s="10"/>
      <c r="R979" s="10"/>
      <c r="S979" s="10"/>
      <c r="T979" s="10"/>
      <c r="U979" s="10"/>
      <c r="V979" s="10"/>
      <c r="W979" s="10"/>
      <c r="X979" s="10"/>
      <c r="Y979" s="10"/>
    </row>
    <row r="980" spans="1:25" ht="16.5" customHeight="1" x14ac:dyDescent="0.2">
      <c r="A980" s="318" t="s">
        <v>681</v>
      </c>
      <c r="B980" s="319"/>
      <c r="C980" s="332"/>
      <c r="D980" s="148"/>
      <c r="E980" s="148"/>
      <c r="F980" s="148"/>
      <c r="G980" s="148">
        <v>1</v>
      </c>
      <c r="H980" s="148">
        <v>7</v>
      </c>
      <c r="I980" s="148"/>
      <c r="J980" s="170">
        <f t="shared" si="45"/>
        <v>7</v>
      </c>
      <c r="K980" s="10"/>
      <c r="L980" s="10"/>
      <c r="M980" s="10"/>
      <c r="N980" s="10"/>
      <c r="O980" s="10"/>
      <c r="P980" s="10"/>
      <c r="Q980" s="10"/>
      <c r="R980" s="10"/>
      <c r="S980" s="10"/>
      <c r="T980" s="10"/>
      <c r="U980" s="10"/>
      <c r="V980" s="10"/>
      <c r="W980" s="10"/>
      <c r="X980" s="10"/>
      <c r="Y980" s="10"/>
    </row>
    <row r="981" spans="1:25" ht="16.5" customHeight="1" x14ac:dyDescent="0.2">
      <c r="A981" s="318" t="s">
        <v>800</v>
      </c>
      <c r="B981" s="319"/>
      <c r="C981" s="332"/>
      <c r="D981" s="148"/>
      <c r="E981" s="148"/>
      <c r="F981" s="148"/>
      <c r="G981" s="148">
        <v>1</v>
      </c>
      <c r="H981" s="148">
        <v>7</v>
      </c>
      <c r="I981" s="148"/>
      <c r="J981" s="170">
        <f t="shared" si="45"/>
        <v>7</v>
      </c>
      <c r="K981" s="10"/>
      <c r="L981" s="10"/>
      <c r="M981" s="10"/>
      <c r="N981" s="10"/>
      <c r="O981" s="10"/>
      <c r="P981" s="10"/>
      <c r="Q981" s="10"/>
      <c r="R981" s="10"/>
      <c r="S981" s="10"/>
      <c r="T981" s="10"/>
      <c r="U981" s="10"/>
      <c r="V981" s="10"/>
      <c r="W981" s="10"/>
      <c r="X981" s="10"/>
      <c r="Y981" s="10"/>
    </row>
    <row r="982" spans="1:25" ht="16.5" customHeight="1" x14ac:dyDescent="0.2">
      <c r="A982" s="318" t="s">
        <v>801</v>
      </c>
      <c r="B982" s="319"/>
      <c r="C982" s="332"/>
      <c r="D982" s="148"/>
      <c r="E982" s="148"/>
      <c r="F982" s="148"/>
      <c r="G982" s="148">
        <v>1</v>
      </c>
      <c r="H982" s="148">
        <v>7</v>
      </c>
      <c r="I982" s="148"/>
      <c r="J982" s="170">
        <f t="shared" si="45"/>
        <v>7</v>
      </c>
      <c r="K982" s="10"/>
      <c r="L982" s="10"/>
      <c r="M982" s="10"/>
      <c r="N982" s="10"/>
      <c r="O982" s="10"/>
      <c r="P982" s="10"/>
      <c r="Q982" s="10"/>
      <c r="R982" s="10"/>
      <c r="S982" s="10"/>
      <c r="T982" s="10"/>
      <c r="U982" s="10"/>
      <c r="V982" s="10"/>
      <c r="W982" s="10"/>
      <c r="X982" s="10"/>
      <c r="Y982" s="10"/>
    </row>
    <row r="983" spans="1:25" ht="16.5" customHeight="1" x14ac:dyDescent="0.2">
      <c r="A983" s="318" t="s">
        <v>802</v>
      </c>
      <c r="B983" s="319"/>
      <c r="C983" s="332"/>
      <c r="D983" s="148"/>
      <c r="E983" s="148"/>
      <c r="F983" s="148"/>
      <c r="G983" s="148">
        <v>1</v>
      </c>
      <c r="H983" s="148">
        <v>7</v>
      </c>
      <c r="I983" s="148"/>
      <c r="J983" s="170">
        <f t="shared" si="45"/>
        <v>7</v>
      </c>
      <c r="K983" s="10"/>
      <c r="L983" s="10"/>
      <c r="M983" s="10"/>
      <c r="N983" s="10"/>
      <c r="O983" s="10"/>
      <c r="P983" s="10"/>
      <c r="Q983" s="10"/>
      <c r="R983" s="10"/>
      <c r="S983" s="10"/>
      <c r="T983" s="10"/>
      <c r="U983" s="10"/>
      <c r="V983" s="10"/>
      <c r="W983" s="10"/>
      <c r="X983" s="10"/>
      <c r="Y983" s="10"/>
    </row>
    <row r="984" spans="1:25" ht="16.5" customHeight="1" x14ac:dyDescent="0.2">
      <c r="A984" s="318" t="s">
        <v>803</v>
      </c>
      <c r="B984" s="319"/>
      <c r="C984" s="332"/>
      <c r="D984" s="148"/>
      <c r="E984" s="148"/>
      <c r="F984" s="148"/>
      <c r="G984" s="148">
        <v>1</v>
      </c>
      <c r="H984" s="148">
        <v>7</v>
      </c>
      <c r="I984" s="148"/>
      <c r="J984" s="170">
        <f t="shared" si="45"/>
        <v>7</v>
      </c>
      <c r="K984" s="10"/>
      <c r="L984" s="10"/>
      <c r="M984" s="10"/>
      <c r="N984" s="10"/>
      <c r="O984" s="10"/>
      <c r="P984" s="10"/>
      <c r="Q984" s="10"/>
      <c r="R984" s="10"/>
      <c r="S984" s="10"/>
      <c r="T984" s="10"/>
      <c r="U984" s="10"/>
      <c r="V984" s="10"/>
      <c r="W984" s="10"/>
      <c r="X984" s="10"/>
      <c r="Y984" s="10"/>
    </row>
    <row r="985" spans="1:25" ht="16.5" customHeight="1" x14ac:dyDescent="0.2">
      <c r="A985" s="318" t="s">
        <v>804</v>
      </c>
      <c r="B985" s="319"/>
      <c r="C985" s="332"/>
      <c r="D985" s="148"/>
      <c r="E985" s="148"/>
      <c r="F985" s="148"/>
      <c r="G985" s="148">
        <v>1</v>
      </c>
      <c r="H985" s="148">
        <v>7</v>
      </c>
      <c r="I985" s="148"/>
      <c r="J985" s="170">
        <f t="shared" si="45"/>
        <v>7</v>
      </c>
      <c r="K985" s="10"/>
      <c r="L985" s="10"/>
      <c r="M985" s="10"/>
      <c r="N985" s="10"/>
      <c r="O985" s="10"/>
      <c r="P985" s="10"/>
      <c r="Q985" s="10"/>
      <c r="R985" s="10"/>
      <c r="S985" s="10"/>
      <c r="T985" s="10"/>
      <c r="U985" s="10"/>
      <c r="V985" s="10"/>
      <c r="W985" s="10"/>
      <c r="X985" s="10"/>
      <c r="Y985" s="10"/>
    </row>
    <row r="986" spans="1:25" ht="16.5" customHeight="1" x14ac:dyDescent="0.2">
      <c r="A986" s="342" t="str">
        <f>"TOTAL - "&amp;'Planilha orçamentária'!F76</f>
        <v>TOTAL - UN</v>
      </c>
      <c r="B986" s="342"/>
      <c r="C986" s="342"/>
      <c r="D986" s="342"/>
      <c r="E986" s="342"/>
      <c r="F986" s="342"/>
      <c r="G986" s="342"/>
      <c r="H986" s="342"/>
      <c r="I986" s="342"/>
      <c r="J986" s="149">
        <f>SUM(J970:J985)</f>
        <v>105</v>
      </c>
      <c r="K986" s="10"/>
      <c r="L986" s="10"/>
      <c r="M986" s="10"/>
      <c r="N986" s="10"/>
      <c r="O986" s="10"/>
      <c r="P986" s="10"/>
      <c r="Q986" s="10"/>
      <c r="R986" s="10"/>
      <c r="S986" s="10"/>
      <c r="T986" s="10"/>
      <c r="U986" s="10"/>
      <c r="V986" s="10"/>
      <c r="W986" s="10"/>
      <c r="X986" s="10"/>
      <c r="Y986" s="10"/>
    </row>
    <row r="987" spans="1:25" ht="16.5" customHeight="1" x14ac:dyDescent="0.2">
      <c r="A987" s="184" t="str">
        <f>'Planilha orçamentária'!A77</f>
        <v>10.11</v>
      </c>
      <c r="B987" s="343" t="str">
        <f>'Planilha orçamentária'!D77</f>
        <v>Assento para vaso PNE (NBR 9050)</v>
      </c>
      <c r="C987" s="344"/>
      <c r="D987" s="344"/>
      <c r="E987" s="344"/>
      <c r="F987" s="344"/>
      <c r="G987" s="344"/>
      <c r="H987" s="344"/>
      <c r="I987" s="344"/>
      <c r="J987" s="344"/>
      <c r="K987" s="10"/>
      <c r="L987" s="10"/>
      <c r="M987" s="10"/>
      <c r="N987" s="10"/>
      <c r="O987" s="10"/>
      <c r="P987" s="10"/>
      <c r="Q987" s="10"/>
      <c r="R987" s="10"/>
      <c r="S987" s="10"/>
      <c r="T987" s="10"/>
      <c r="U987" s="10"/>
      <c r="V987" s="10"/>
      <c r="W987" s="10"/>
      <c r="X987" s="10"/>
      <c r="Y987" s="10"/>
    </row>
    <row r="988" spans="1:25" ht="25.5" customHeight="1" x14ac:dyDescent="0.2">
      <c r="A988" s="327" t="s">
        <v>120</v>
      </c>
      <c r="B988" s="328"/>
      <c r="C988" s="328"/>
      <c r="D988" s="182" t="s">
        <v>121</v>
      </c>
      <c r="E988" s="182" t="s">
        <v>122</v>
      </c>
      <c r="F988" s="181" t="s">
        <v>123</v>
      </c>
      <c r="G988" s="181" t="s">
        <v>124</v>
      </c>
      <c r="H988" s="181" t="s">
        <v>489</v>
      </c>
      <c r="I988" s="182" t="s">
        <v>126</v>
      </c>
      <c r="J988" s="182" t="s">
        <v>113</v>
      </c>
      <c r="K988" s="10"/>
      <c r="L988" s="10"/>
      <c r="M988" s="10"/>
      <c r="N988" s="10"/>
      <c r="O988" s="10"/>
      <c r="P988" s="10"/>
      <c r="Q988" s="10"/>
      <c r="R988" s="10"/>
      <c r="S988" s="10"/>
      <c r="T988" s="10"/>
      <c r="U988" s="10"/>
      <c r="V988" s="10"/>
      <c r="W988" s="10"/>
      <c r="X988" s="10"/>
      <c r="Y988" s="10"/>
    </row>
    <row r="989" spans="1:25" ht="16.5" customHeight="1" x14ac:dyDescent="0.2">
      <c r="A989" s="318" t="s">
        <v>673</v>
      </c>
      <c r="B989" s="319"/>
      <c r="C989" s="332"/>
      <c r="D989" s="148"/>
      <c r="E989" s="148"/>
      <c r="F989" s="148"/>
      <c r="G989" s="148">
        <v>1</v>
      </c>
      <c r="H989" s="148">
        <v>7</v>
      </c>
      <c r="I989" s="148"/>
      <c r="J989" s="170">
        <f t="shared" ref="J989" si="46">PRODUCT(D989:H989)-I989</f>
        <v>7</v>
      </c>
      <c r="K989" s="10"/>
      <c r="L989" s="10"/>
      <c r="M989" s="10"/>
      <c r="N989" s="10"/>
      <c r="O989" s="10"/>
      <c r="P989" s="10"/>
      <c r="Q989" s="10"/>
      <c r="R989" s="10"/>
      <c r="S989" s="10"/>
      <c r="T989" s="10"/>
      <c r="U989" s="10"/>
      <c r="V989" s="10"/>
      <c r="W989" s="10"/>
      <c r="X989" s="10"/>
      <c r="Y989" s="10"/>
    </row>
    <row r="990" spans="1:25" ht="16.5" customHeight="1" x14ac:dyDescent="0.2">
      <c r="A990" s="342" t="str">
        <f>"TOTAL - "&amp;'Planilha orçamentária'!F77</f>
        <v>TOTAL - UN</v>
      </c>
      <c r="B990" s="342"/>
      <c r="C990" s="342"/>
      <c r="D990" s="342"/>
      <c r="E990" s="342"/>
      <c r="F990" s="342"/>
      <c r="G990" s="342"/>
      <c r="H990" s="342"/>
      <c r="I990" s="342"/>
      <c r="J990" s="149">
        <f>SUM(J989:J989)</f>
        <v>7</v>
      </c>
      <c r="K990" s="10"/>
      <c r="L990" s="10"/>
      <c r="M990" s="10"/>
      <c r="N990" s="10"/>
      <c r="O990" s="10"/>
      <c r="P990" s="10"/>
      <c r="Q990" s="10"/>
      <c r="R990" s="10"/>
      <c r="S990" s="10"/>
      <c r="T990" s="10"/>
      <c r="U990" s="10"/>
      <c r="V990" s="10"/>
      <c r="W990" s="10"/>
      <c r="X990" s="10"/>
      <c r="Y990" s="10"/>
    </row>
    <row r="991" spans="1:25" ht="25.5" customHeight="1" x14ac:dyDescent="0.2">
      <c r="A991" s="184" t="str">
        <f>'Planilha orçamentária'!A78</f>
        <v>10.12</v>
      </c>
      <c r="B991" s="343" t="str">
        <f>'Planilha orçamentária'!D78</f>
        <v>Barra de apoio em aço inox polido reta, DN 1.1/4" (31,75mm) , para acessibilidade (PMR/PCR), comprimento 80cm, instalado em parede, inclusive fornecimento, instalação e acessórios para fixação</v>
      </c>
      <c r="C991" s="344"/>
      <c r="D991" s="344"/>
      <c r="E991" s="344"/>
      <c r="F991" s="344"/>
      <c r="G991" s="344"/>
      <c r="H991" s="344"/>
      <c r="I991" s="344"/>
      <c r="J991" s="344"/>
      <c r="K991" s="10"/>
      <c r="L991" s="10"/>
      <c r="M991" s="10"/>
      <c r="N991" s="10"/>
      <c r="O991" s="10"/>
      <c r="P991" s="10"/>
      <c r="Q991" s="10"/>
      <c r="R991" s="10"/>
      <c r="S991" s="10"/>
      <c r="T991" s="10"/>
      <c r="U991" s="10"/>
      <c r="V991" s="10"/>
      <c r="W991" s="10"/>
      <c r="X991" s="10"/>
      <c r="Y991" s="10"/>
    </row>
    <row r="992" spans="1:25" ht="25.5" customHeight="1" x14ac:dyDescent="0.2">
      <c r="A992" s="327" t="s">
        <v>120</v>
      </c>
      <c r="B992" s="328"/>
      <c r="C992" s="328"/>
      <c r="D992" s="182" t="s">
        <v>121</v>
      </c>
      <c r="E992" s="182" t="s">
        <v>122</v>
      </c>
      <c r="F992" s="181" t="s">
        <v>123</v>
      </c>
      <c r="G992" s="181" t="s">
        <v>124</v>
      </c>
      <c r="H992" s="181" t="s">
        <v>489</v>
      </c>
      <c r="I992" s="182" t="s">
        <v>126</v>
      </c>
      <c r="J992" s="182" t="s">
        <v>113</v>
      </c>
      <c r="K992" s="10"/>
      <c r="L992" s="10"/>
      <c r="M992" s="10"/>
      <c r="N992" s="10"/>
      <c r="O992" s="10"/>
      <c r="P992" s="10"/>
      <c r="Q992" s="10"/>
      <c r="R992" s="10"/>
      <c r="S992" s="10"/>
      <c r="T992" s="10"/>
      <c r="U992" s="10"/>
      <c r="V992" s="10"/>
      <c r="W992" s="10"/>
      <c r="X992" s="10"/>
      <c r="Y992" s="10"/>
    </row>
    <row r="993" spans="1:25" ht="16.5" customHeight="1" x14ac:dyDescent="0.2">
      <c r="A993" s="318" t="s">
        <v>805</v>
      </c>
      <c r="B993" s="319"/>
      <c r="C993" s="332"/>
      <c r="D993" s="148"/>
      <c r="E993" s="148"/>
      <c r="F993" s="148"/>
      <c r="G993" s="148">
        <v>2</v>
      </c>
      <c r="H993" s="148">
        <v>7</v>
      </c>
      <c r="I993" s="148"/>
      <c r="J993" s="170">
        <f t="shared" ref="J993:J994" si="47">PRODUCT(D993:H993)-I993</f>
        <v>14</v>
      </c>
      <c r="K993" s="10"/>
      <c r="L993" s="10"/>
      <c r="M993" s="10"/>
      <c r="N993" s="10"/>
      <c r="O993" s="10"/>
      <c r="P993" s="10"/>
      <c r="Q993" s="10"/>
      <c r="R993" s="10"/>
      <c r="S993" s="10"/>
      <c r="T993" s="10"/>
      <c r="U993" s="10"/>
      <c r="V993" s="10"/>
      <c r="W993" s="10"/>
      <c r="X993" s="10"/>
      <c r="Y993" s="10"/>
    </row>
    <row r="994" spans="1:25" ht="16.5" customHeight="1" x14ac:dyDescent="0.2">
      <c r="A994" s="318" t="s">
        <v>806</v>
      </c>
      <c r="B994" s="319"/>
      <c r="C994" s="332"/>
      <c r="D994" s="148"/>
      <c r="E994" s="148"/>
      <c r="F994" s="148"/>
      <c r="G994" s="148">
        <v>2</v>
      </c>
      <c r="H994" s="148">
        <v>7</v>
      </c>
      <c r="I994" s="148"/>
      <c r="J994" s="170">
        <f t="shared" si="47"/>
        <v>14</v>
      </c>
      <c r="K994" s="10"/>
      <c r="L994" s="10"/>
      <c r="M994" s="10"/>
      <c r="N994" s="10"/>
      <c r="O994" s="10"/>
      <c r="P994" s="10"/>
      <c r="Q994" s="10"/>
      <c r="R994" s="10"/>
      <c r="S994" s="10"/>
      <c r="T994" s="10"/>
      <c r="U994" s="10"/>
      <c r="V994" s="10"/>
      <c r="W994" s="10"/>
      <c r="X994" s="10"/>
      <c r="Y994" s="10"/>
    </row>
    <row r="995" spans="1:25" ht="16.5" customHeight="1" x14ac:dyDescent="0.2">
      <c r="A995" s="342" t="str">
        <f>"TOTAL - "&amp;'Planilha orçamentária'!F78</f>
        <v>TOTAL - UN</v>
      </c>
      <c r="B995" s="342"/>
      <c r="C995" s="342"/>
      <c r="D995" s="342"/>
      <c r="E995" s="342"/>
      <c r="F995" s="342"/>
      <c r="G995" s="342"/>
      <c r="H995" s="342"/>
      <c r="I995" s="342"/>
      <c r="J995" s="149">
        <f>SUM(J993:J994)</f>
        <v>28</v>
      </c>
      <c r="K995" s="10"/>
      <c r="L995" s="10"/>
      <c r="M995" s="10"/>
      <c r="N995" s="10"/>
      <c r="O995" s="10"/>
      <c r="P995" s="10"/>
      <c r="Q995" s="10"/>
      <c r="R995" s="10"/>
      <c r="S995" s="10"/>
      <c r="T995" s="10"/>
      <c r="U995" s="10"/>
      <c r="V995" s="10"/>
      <c r="W995" s="10"/>
      <c r="X995" s="10"/>
      <c r="Y995" s="10"/>
    </row>
    <row r="996" spans="1:25" ht="33.6" customHeight="1" x14ac:dyDescent="0.2">
      <c r="A996" s="184" t="str">
        <f>'Planilha orçamentária'!A79</f>
        <v>10.13</v>
      </c>
      <c r="B996" s="343" t="str">
        <f>'Planilha orçamentária'!D79</f>
        <v>Barra de apoio em aço inox polido para lavatório de canto, DN 1.1/4" (31,75mm), para acessibilidade (PMR/PCR), instalado em parede, inclusive fornecimento, instalação e acessórios para fixação</v>
      </c>
      <c r="C996" s="344"/>
      <c r="D996" s="344"/>
      <c r="E996" s="344"/>
      <c r="F996" s="344"/>
      <c r="G996" s="344"/>
      <c r="H996" s="344"/>
      <c r="I996" s="344"/>
      <c r="J996" s="344"/>
      <c r="K996" s="10"/>
      <c r="L996" s="10"/>
      <c r="M996" s="10"/>
      <c r="N996" s="10"/>
      <c r="O996" s="10"/>
      <c r="P996" s="10"/>
      <c r="Q996" s="10"/>
      <c r="R996" s="10"/>
      <c r="S996" s="10"/>
      <c r="T996" s="10"/>
      <c r="U996" s="10"/>
      <c r="V996" s="10"/>
      <c r="W996" s="10"/>
      <c r="X996" s="10"/>
      <c r="Y996" s="10"/>
    </row>
    <row r="997" spans="1:25" ht="25.5" customHeight="1" x14ac:dyDescent="0.2">
      <c r="A997" s="327" t="s">
        <v>120</v>
      </c>
      <c r="B997" s="328"/>
      <c r="C997" s="328"/>
      <c r="D997" s="182" t="s">
        <v>121</v>
      </c>
      <c r="E997" s="182" t="s">
        <v>122</v>
      </c>
      <c r="F997" s="181" t="s">
        <v>123</v>
      </c>
      <c r="G997" s="181" t="s">
        <v>124</v>
      </c>
      <c r="H997" s="181" t="s">
        <v>125</v>
      </c>
      <c r="I997" s="182" t="s">
        <v>126</v>
      </c>
      <c r="J997" s="182" t="s">
        <v>113</v>
      </c>
      <c r="K997" s="10"/>
      <c r="L997" s="10"/>
      <c r="M997" s="10"/>
      <c r="N997" s="10"/>
      <c r="O997" s="10"/>
      <c r="P997" s="10"/>
      <c r="Q997" s="10"/>
      <c r="R997" s="10"/>
      <c r="S997" s="10"/>
      <c r="T997" s="10"/>
      <c r="U997" s="10"/>
      <c r="V997" s="10"/>
      <c r="W997" s="10"/>
      <c r="X997" s="10"/>
      <c r="Y997" s="10"/>
    </row>
    <row r="998" spans="1:25" ht="16.5" customHeight="1" x14ac:dyDescent="0.2">
      <c r="A998" s="318" t="s">
        <v>673</v>
      </c>
      <c r="B998" s="319"/>
      <c r="C998" s="332"/>
      <c r="D998" s="148"/>
      <c r="E998" s="148"/>
      <c r="F998" s="148"/>
      <c r="G998" s="148">
        <v>7</v>
      </c>
      <c r="H998" s="148"/>
      <c r="I998" s="148"/>
      <c r="J998" s="170">
        <f t="shared" ref="J998" si="48">PRODUCT(D998:H998)-I998</f>
        <v>7</v>
      </c>
      <c r="K998" s="10"/>
      <c r="L998" s="10"/>
      <c r="M998" s="10"/>
      <c r="N998" s="10"/>
      <c r="O998" s="10"/>
      <c r="P998" s="10"/>
      <c r="Q998" s="10"/>
      <c r="R998" s="10"/>
      <c r="S998" s="10"/>
      <c r="T998" s="10"/>
      <c r="U998" s="10"/>
      <c r="V998" s="10"/>
      <c r="W998" s="10"/>
      <c r="X998" s="10"/>
      <c r="Y998" s="10"/>
    </row>
    <row r="999" spans="1:25" ht="16.5" customHeight="1" x14ac:dyDescent="0.2">
      <c r="A999" s="342" t="str">
        <f>"TOTAL - "&amp;'Planilha orçamentária'!F79</f>
        <v>TOTAL - UN</v>
      </c>
      <c r="B999" s="342"/>
      <c r="C999" s="342"/>
      <c r="D999" s="342"/>
      <c r="E999" s="342"/>
      <c r="F999" s="342"/>
      <c r="G999" s="342"/>
      <c r="H999" s="342"/>
      <c r="I999" s="342"/>
      <c r="J999" s="149">
        <f>SUM(J997:J998)</f>
        <v>7</v>
      </c>
      <c r="K999" s="10"/>
      <c r="L999" s="10"/>
      <c r="M999" s="10"/>
      <c r="N999" s="10"/>
      <c r="O999" s="10"/>
      <c r="P999" s="10"/>
      <c r="Q999" s="10"/>
      <c r="R999" s="10"/>
      <c r="S999" s="10"/>
      <c r="T999" s="10"/>
      <c r="U999" s="10"/>
      <c r="V999" s="10"/>
      <c r="W999" s="10"/>
      <c r="X999" s="10"/>
      <c r="Y999" s="10"/>
    </row>
    <row r="1000" spans="1:25" ht="16.5" customHeight="1" x14ac:dyDescent="0.2">
      <c r="A1000" s="184" t="str">
        <f>'Planilha orçamentária'!A80</f>
        <v>10.14</v>
      </c>
      <c r="B1000" s="343" t="str">
        <f>'Planilha orçamentária'!D80</f>
        <v>Banco articulado em aço inox com cantos arredondados, profundidade mínima de 0,45 m e comprimento mínimo de 0,70 m, conforme NBR 9050</v>
      </c>
      <c r="C1000" s="344"/>
      <c r="D1000" s="344"/>
      <c r="E1000" s="344"/>
      <c r="F1000" s="344"/>
      <c r="G1000" s="344"/>
      <c r="H1000" s="344"/>
      <c r="I1000" s="344"/>
      <c r="J1000" s="344"/>
      <c r="K1000" s="10"/>
      <c r="L1000" s="10"/>
      <c r="M1000" s="10"/>
      <c r="N1000" s="10"/>
      <c r="O1000" s="10"/>
      <c r="P1000" s="10"/>
      <c r="Q1000" s="10"/>
      <c r="R1000" s="10"/>
      <c r="S1000" s="10"/>
      <c r="T1000" s="10"/>
      <c r="U1000" s="10"/>
      <c r="V1000" s="10"/>
      <c r="W1000" s="10"/>
      <c r="X1000" s="10"/>
      <c r="Y1000" s="10"/>
    </row>
    <row r="1001" spans="1:25" ht="25.5" customHeight="1" x14ac:dyDescent="0.2">
      <c r="A1001" s="327" t="s">
        <v>120</v>
      </c>
      <c r="B1001" s="328"/>
      <c r="C1001" s="328"/>
      <c r="D1001" s="182" t="s">
        <v>121</v>
      </c>
      <c r="E1001" s="182" t="s">
        <v>122</v>
      </c>
      <c r="F1001" s="181" t="s">
        <v>123</v>
      </c>
      <c r="G1001" s="181" t="s">
        <v>124</v>
      </c>
      <c r="H1001" s="181" t="s">
        <v>125</v>
      </c>
      <c r="I1001" s="182" t="s">
        <v>126</v>
      </c>
      <c r="J1001" s="182" t="s">
        <v>113</v>
      </c>
      <c r="K1001" s="10"/>
      <c r="L1001" s="10"/>
      <c r="M1001" s="10"/>
      <c r="N1001" s="10"/>
      <c r="O1001" s="10"/>
      <c r="P1001" s="10"/>
      <c r="Q1001" s="10"/>
      <c r="R1001" s="10"/>
      <c r="S1001" s="10"/>
      <c r="T1001" s="10"/>
      <c r="U1001" s="10"/>
      <c r="V1001" s="10"/>
      <c r="W1001" s="10"/>
      <c r="X1001" s="10"/>
      <c r="Y1001" s="10"/>
    </row>
    <row r="1002" spans="1:25" ht="16.5" customHeight="1" x14ac:dyDescent="0.2">
      <c r="A1002" s="318" t="s">
        <v>673</v>
      </c>
      <c r="B1002" s="319"/>
      <c r="C1002" s="332"/>
      <c r="D1002" s="148"/>
      <c r="E1002" s="148"/>
      <c r="F1002" s="148"/>
      <c r="G1002" s="148">
        <v>7</v>
      </c>
      <c r="H1002" s="148"/>
      <c r="I1002" s="148"/>
      <c r="J1002" s="170">
        <f t="shared" ref="J1002" si="49">PRODUCT(D1002:H1002)-I1002</f>
        <v>7</v>
      </c>
      <c r="K1002" s="10"/>
      <c r="L1002" s="10"/>
      <c r="M1002" s="10"/>
      <c r="N1002" s="10"/>
      <c r="O1002" s="10"/>
      <c r="P1002" s="10"/>
      <c r="Q1002" s="10"/>
      <c r="R1002" s="10"/>
      <c r="S1002" s="10"/>
      <c r="T1002" s="10"/>
      <c r="U1002" s="10"/>
      <c r="V1002" s="10"/>
      <c r="W1002" s="10"/>
      <c r="X1002" s="10"/>
      <c r="Y1002" s="10"/>
    </row>
    <row r="1003" spans="1:25" ht="16.5" customHeight="1" x14ac:dyDescent="0.2">
      <c r="A1003" s="342" t="str">
        <f>"TOTAL - "&amp;'Planilha orçamentária'!F80</f>
        <v>TOTAL - UN</v>
      </c>
      <c r="B1003" s="342"/>
      <c r="C1003" s="342"/>
      <c r="D1003" s="342"/>
      <c r="E1003" s="342"/>
      <c r="F1003" s="342"/>
      <c r="G1003" s="342"/>
      <c r="H1003" s="342"/>
      <c r="I1003" s="342"/>
      <c r="J1003" s="149">
        <f>SUM(J1002)</f>
        <v>7</v>
      </c>
      <c r="K1003" s="10"/>
      <c r="L1003" s="10"/>
      <c r="M1003" s="10"/>
      <c r="N1003" s="10"/>
      <c r="O1003" s="10"/>
      <c r="P1003" s="10"/>
      <c r="Q1003" s="10"/>
      <c r="R1003" s="10"/>
      <c r="S1003" s="10"/>
      <c r="T1003" s="10"/>
      <c r="U1003" s="10"/>
      <c r="V1003" s="10"/>
      <c r="W1003" s="10"/>
      <c r="X1003" s="10"/>
      <c r="Y1003" s="10"/>
    </row>
    <row r="1004" spans="1:25" ht="16.5" customHeight="1" x14ac:dyDescent="0.2">
      <c r="A1004" s="184" t="str">
        <f>'Planilha orçamentária'!A81</f>
        <v>10.15</v>
      </c>
      <c r="B1004" s="343" t="str">
        <f>'Planilha orçamentária'!D81</f>
        <v>Espelho cristal, dimensão (60x90)cm, com esp. 4mm, em acabamento lapidado, inclusive fixação com parafuso tipo finesson, fornecimento e instalação</v>
      </c>
      <c r="C1004" s="344"/>
      <c r="D1004" s="344"/>
      <c r="E1004" s="344"/>
      <c r="F1004" s="344"/>
      <c r="G1004" s="344"/>
      <c r="H1004" s="344"/>
      <c r="I1004" s="344"/>
      <c r="J1004" s="344"/>
      <c r="K1004" s="10"/>
      <c r="L1004" s="10"/>
      <c r="M1004" s="10"/>
      <c r="N1004" s="10"/>
      <c r="O1004" s="10"/>
      <c r="P1004" s="10"/>
      <c r="Q1004" s="10"/>
      <c r="R1004" s="10"/>
      <c r="S1004" s="10"/>
      <c r="T1004" s="10"/>
      <c r="U1004" s="10"/>
      <c r="V1004" s="10"/>
      <c r="W1004" s="10"/>
      <c r="X1004" s="10"/>
      <c r="Y1004" s="10"/>
    </row>
    <row r="1005" spans="1:25" ht="25.5" customHeight="1" x14ac:dyDescent="0.2">
      <c r="A1005" s="327" t="s">
        <v>120</v>
      </c>
      <c r="B1005" s="328"/>
      <c r="C1005" s="328"/>
      <c r="D1005" s="182" t="s">
        <v>121</v>
      </c>
      <c r="E1005" s="182" t="s">
        <v>122</v>
      </c>
      <c r="F1005" s="181" t="s">
        <v>123</v>
      </c>
      <c r="G1005" s="181" t="s">
        <v>124</v>
      </c>
      <c r="H1005" s="181" t="s">
        <v>489</v>
      </c>
      <c r="I1005" s="182" t="s">
        <v>125</v>
      </c>
      <c r="J1005" s="182" t="s">
        <v>113</v>
      </c>
      <c r="K1005" s="10"/>
      <c r="L1005" s="10"/>
      <c r="M1005" s="10"/>
      <c r="N1005" s="10"/>
      <c r="O1005" s="10"/>
      <c r="P1005" s="10"/>
      <c r="Q1005" s="10"/>
      <c r="R1005" s="10"/>
      <c r="S1005" s="10"/>
      <c r="T1005" s="10"/>
      <c r="U1005" s="10"/>
      <c r="V1005" s="10"/>
      <c r="W1005" s="10"/>
      <c r="X1005" s="10"/>
      <c r="Y1005" s="10"/>
    </row>
    <row r="1006" spans="1:25" ht="16.5" customHeight="1" x14ac:dyDescent="0.2">
      <c r="A1006" s="318" t="s">
        <v>671</v>
      </c>
      <c r="B1006" s="319"/>
      <c r="C1006" s="332"/>
      <c r="D1006" s="148"/>
      <c r="E1006" s="148"/>
      <c r="F1006" s="148"/>
      <c r="G1006" s="148">
        <v>1</v>
      </c>
      <c r="H1006" s="148">
        <v>7</v>
      </c>
      <c r="I1006" s="148"/>
      <c r="J1006" s="170">
        <f t="shared" ref="J1006:J1021" si="50">PRODUCT(D1006:H1006)-I1006</f>
        <v>7</v>
      </c>
      <c r="K1006" s="10"/>
      <c r="L1006" s="10"/>
      <c r="M1006" s="10"/>
      <c r="N1006" s="10"/>
      <c r="O1006" s="10"/>
      <c r="P1006" s="10"/>
      <c r="Q1006" s="10"/>
      <c r="R1006" s="10"/>
      <c r="S1006" s="10"/>
      <c r="T1006" s="10"/>
      <c r="U1006" s="10"/>
      <c r="V1006" s="10"/>
      <c r="W1006" s="10"/>
      <c r="X1006" s="10"/>
      <c r="Y1006" s="10"/>
    </row>
    <row r="1007" spans="1:25" ht="16.5" customHeight="1" x14ac:dyDescent="0.2">
      <c r="A1007" s="318" t="s">
        <v>672</v>
      </c>
      <c r="B1007" s="319"/>
      <c r="C1007" s="332"/>
      <c r="D1007" s="148"/>
      <c r="E1007" s="148"/>
      <c r="F1007" s="148"/>
      <c r="G1007" s="148">
        <v>1</v>
      </c>
      <c r="H1007" s="148">
        <v>7</v>
      </c>
      <c r="I1007" s="148"/>
      <c r="J1007" s="170">
        <f t="shared" si="50"/>
        <v>7</v>
      </c>
      <c r="K1007" s="10"/>
      <c r="L1007" s="10"/>
      <c r="M1007" s="10"/>
      <c r="N1007" s="10"/>
      <c r="O1007" s="10"/>
      <c r="P1007" s="10"/>
      <c r="Q1007" s="10"/>
      <c r="R1007" s="10"/>
      <c r="S1007" s="10"/>
      <c r="T1007" s="10"/>
      <c r="U1007" s="10"/>
      <c r="V1007" s="10"/>
      <c r="W1007" s="10"/>
      <c r="X1007" s="10"/>
      <c r="Y1007" s="10"/>
    </row>
    <row r="1008" spans="1:25" ht="16.5" customHeight="1" x14ac:dyDescent="0.2">
      <c r="A1008" s="318" t="s">
        <v>766</v>
      </c>
      <c r="B1008" s="319"/>
      <c r="C1008" s="332"/>
      <c r="D1008" s="148"/>
      <c r="E1008" s="148"/>
      <c r="F1008" s="148"/>
      <c r="G1008" s="148">
        <v>1</v>
      </c>
      <c r="H1008" s="148">
        <v>7</v>
      </c>
      <c r="I1008" s="148"/>
      <c r="J1008" s="170">
        <f t="shared" si="50"/>
        <v>7</v>
      </c>
      <c r="K1008" s="10"/>
      <c r="L1008" s="10"/>
      <c r="M1008" s="10"/>
      <c r="N1008" s="10"/>
      <c r="O1008" s="10"/>
      <c r="P1008" s="10"/>
      <c r="Q1008" s="10"/>
      <c r="R1008" s="10"/>
      <c r="S1008" s="10"/>
      <c r="T1008" s="10"/>
      <c r="U1008" s="10"/>
      <c r="V1008" s="10"/>
      <c r="W1008" s="10"/>
      <c r="X1008" s="10"/>
      <c r="Y1008" s="10"/>
    </row>
    <row r="1009" spans="1:25" ht="16.5" customHeight="1" x14ac:dyDescent="0.2">
      <c r="A1009" s="318" t="s">
        <v>794</v>
      </c>
      <c r="B1009" s="319"/>
      <c r="C1009" s="332"/>
      <c r="D1009" s="148"/>
      <c r="E1009" s="148"/>
      <c r="F1009" s="148"/>
      <c r="G1009" s="148">
        <v>1</v>
      </c>
      <c r="H1009" s="148">
        <v>7</v>
      </c>
      <c r="I1009" s="148"/>
      <c r="J1009" s="170">
        <f t="shared" si="50"/>
        <v>7</v>
      </c>
      <c r="K1009" s="10"/>
      <c r="L1009" s="10"/>
      <c r="M1009" s="10"/>
      <c r="N1009" s="10"/>
      <c r="O1009" s="10"/>
      <c r="P1009" s="10"/>
      <c r="Q1009" s="10"/>
      <c r="R1009" s="10"/>
      <c r="S1009" s="10"/>
      <c r="T1009" s="10"/>
      <c r="U1009" s="10"/>
      <c r="V1009" s="10"/>
      <c r="W1009" s="10"/>
      <c r="X1009" s="10"/>
      <c r="Y1009" s="10"/>
    </row>
    <row r="1010" spans="1:25" ht="16.5" customHeight="1" x14ac:dyDescent="0.2">
      <c r="A1010" s="318" t="s">
        <v>795</v>
      </c>
      <c r="B1010" s="319"/>
      <c r="C1010" s="332"/>
      <c r="D1010" s="148"/>
      <c r="E1010" s="148"/>
      <c r="F1010" s="148"/>
      <c r="G1010" s="148">
        <v>1</v>
      </c>
      <c r="H1010" s="148">
        <v>7</v>
      </c>
      <c r="I1010" s="148"/>
      <c r="J1010" s="170">
        <f t="shared" si="50"/>
        <v>7</v>
      </c>
      <c r="K1010" s="10"/>
      <c r="L1010" s="10"/>
      <c r="M1010" s="10"/>
      <c r="N1010" s="10"/>
      <c r="O1010" s="10"/>
      <c r="P1010" s="10"/>
      <c r="Q1010" s="10"/>
      <c r="R1010" s="10"/>
      <c r="S1010" s="10"/>
      <c r="T1010" s="10"/>
      <c r="U1010" s="10"/>
      <c r="V1010" s="10"/>
      <c r="W1010" s="10"/>
      <c r="X1010" s="10"/>
      <c r="Y1010" s="10"/>
    </row>
    <row r="1011" spans="1:25" ht="16.5" customHeight="1" x14ac:dyDescent="0.2">
      <c r="A1011" s="318" t="s">
        <v>796</v>
      </c>
      <c r="B1011" s="319"/>
      <c r="C1011" s="332"/>
      <c r="D1011" s="148"/>
      <c r="E1011" s="148"/>
      <c r="F1011" s="148"/>
      <c r="G1011" s="148">
        <v>1</v>
      </c>
      <c r="H1011" s="148">
        <v>7</v>
      </c>
      <c r="I1011" s="148"/>
      <c r="J1011" s="170">
        <f t="shared" si="50"/>
        <v>7</v>
      </c>
      <c r="K1011" s="10"/>
      <c r="L1011" s="10"/>
      <c r="M1011" s="10"/>
      <c r="N1011" s="10"/>
      <c r="O1011" s="10"/>
      <c r="P1011" s="10"/>
      <c r="Q1011" s="10"/>
      <c r="R1011" s="10"/>
      <c r="S1011" s="10"/>
      <c r="T1011" s="10"/>
      <c r="U1011" s="10"/>
      <c r="V1011" s="10"/>
      <c r="W1011" s="10"/>
      <c r="X1011" s="10"/>
      <c r="Y1011" s="10"/>
    </row>
    <row r="1012" spans="1:25" ht="16.5" customHeight="1" x14ac:dyDescent="0.2">
      <c r="A1012" s="318" t="s">
        <v>797</v>
      </c>
      <c r="B1012" s="319"/>
      <c r="C1012" s="332"/>
      <c r="D1012" s="148"/>
      <c r="E1012" s="148"/>
      <c r="F1012" s="148"/>
      <c r="G1012" s="148">
        <v>1</v>
      </c>
      <c r="H1012" s="148">
        <v>7</v>
      </c>
      <c r="I1012" s="148"/>
      <c r="J1012" s="170">
        <f t="shared" si="50"/>
        <v>7</v>
      </c>
      <c r="K1012" s="10"/>
      <c r="L1012" s="10"/>
      <c r="M1012" s="10"/>
      <c r="N1012" s="10"/>
      <c r="O1012" s="10"/>
      <c r="P1012" s="10"/>
      <c r="Q1012" s="10"/>
      <c r="R1012" s="10"/>
      <c r="S1012" s="10"/>
      <c r="T1012" s="10"/>
      <c r="U1012" s="10"/>
      <c r="V1012" s="10"/>
      <c r="W1012" s="10"/>
      <c r="X1012" s="10"/>
      <c r="Y1012" s="10"/>
    </row>
    <row r="1013" spans="1:25" ht="16.5" customHeight="1" x14ac:dyDescent="0.2">
      <c r="A1013" s="318" t="s">
        <v>798</v>
      </c>
      <c r="B1013" s="319"/>
      <c r="C1013" s="332"/>
      <c r="D1013" s="148"/>
      <c r="E1013" s="148"/>
      <c r="F1013" s="148"/>
      <c r="G1013" s="148">
        <v>1</v>
      </c>
      <c r="H1013" s="148">
        <v>7</v>
      </c>
      <c r="I1013" s="148"/>
      <c r="J1013" s="170">
        <f t="shared" si="50"/>
        <v>7</v>
      </c>
      <c r="K1013" s="10"/>
      <c r="L1013" s="10"/>
      <c r="M1013" s="10"/>
      <c r="N1013" s="10"/>
      <c r="O1013" s="10"/>
      <c r="P1013" s="10"/>
      <c r="Q1013" s="10"/>
      <c r="R1013" s="10"/>
      <c r="S1013" s="10"/>
      <c r="T1013" s="10"/>
      <c r="U1013" s="10"/>
      <c r="V1013" s="10"/>
      <c r="W1013" s="10"/>
      <c r="X1013" s="10"/>
      <c r="Y1013" s="10"/>
    </row>
    <row r="1014" spans="1:25" ht="16.5" customHeight="1" x14ac:dyDescent="0.2">
      <c r="A1014" s="318" t="s">
        <v>799</v>
      </c>
      <c r="B1014" s="319"/>
      <c r="C1014" s="332"/>
      <c r="D1014" s="148"/>
      <c r="E1014" s="148"/>
      <c r="F1014" s="148"/>
      <c r="G1014" s="148">
        <v>1</v>
      </c>
      <c r="H1014" s="148">
        <v>7</v>
      </c>
      <c r="I1014" s="148"/>
      <c r="J1014" s="170">
        <f t="shared" si="50"/>
        <v>7</v>
      </c>
      <c r="K1014" s="10"/>
      <c r="L1014" s="10"/>
      <c r="M1014" s="10"/>
      <c r="N1014" s="10"/>
      <c r="O1014" s="10"/>
      <c r="P1014" s="10"/>
      <c r="Q1014" s="10"/>
      <c r="R1014" s="10"/>
      <c r="S1014" s="10"/>
      <c r="T1014" s="10"/>
      <c r="U1014" s="10"/>
      <c r="V1014" s="10"/>
      <c r="W1014" s="10"/>
      <c r="X1014" s="10"/>
      <c r="Y1014" s="10"/>
    </row>
    <row r="1015" spans="1:25" ht="16.5" customHeight="1" x14ac:dyDescent="0.2">
      <c r="A1015" s="318" t="s">
        <v>681</v>
      </c>
      <c r="B1015" s="319"/>
      <c r="C1015" s="332"/>
      <c r="D1015" s="148"/>
      <c r="E1015" s="148"/>
      <c r="F1015" s="148"/>
      <c r="G1015" s="148">
        <v>1</v>
      </c>
      <c r="H1015" s="148">
        <v>7</v>
      </c>
      <c r="I1015" s="148"/>
      <c r="J1015" s="170">
        <f t="shared" si="50"/>
        <v>7</v>
      </c>
      <c r="K1015" s="10"/>
      <c r="L1015" s="10"/>
      <c r="M1015" s="10"/>
      <c r="N1015" s="10"/>
      <c r="O1015" s="10"/>
      <c r="P1015" s="10"/>
      <c r="Q1015" s="10"/>
      <c r="R1015" s="10"/>
      <c r="S1015" s="10"/>
      <c r="T1015" s="10"/>
      <c r="U1015" s="10"/>
      <c r="V1015" s="10"/>
      <c r="W1015" s="10"/>
      <c r="X1015" s="10"/>
      <c r="Y1015" s="10"/>
    </row>
    <row r="1016" spans="1:25" ht="16.5" customHeight="1" x14ac:dyDescent="0.2">
      <c r="A1016" s="318" t="s">
        <v>800</v>
      </c>
      <c r="B1016" s="319"/>
      <c r="C1016" s="332"/>
      <c r="D1016" s="148"/>
      <c r="E1016" s="148"/>
      <c r="F1016" s="148"/>
      <c r="G1016" s="148">
        <v>1</v>
      </c>
      <c r="H1016" s="148">
        <v>7</v>
      </c>
      <c r="I1016" s="148"/>
      <c r="J1016" s="170">
        <f t="shared" si="50"/>
        <v>7</v>
      </c>
      <c r="K1016" s="10"/>
      <c r="L1016" s="10"/>
      <c r="M1016" s="10"/>
      <c r="N1016" s="10"/>
      <c r="O1016" s="10"/>
      <c r="P1016" s="10"/>
      <c r="Q1016" s="10"/>
      <c r="R1016" s="10"/>
      <c r="S1016" s="10"/>
      <c r="T1016" s="10"/>
      <c r="U1016" s="10"/>
      <c r="V1016" s="10"/>
      <c r="W1016" s="10"/>
      <c r="X1016" s="10"/>
      <c r="Y1016" s="10"/>
    </row>
    <row r="1017" spans="1:25" ht="16.5" customHeight="1" x14ac:dyDescent="0.2">
      <c r="A1017" s="318" t="s">
        <v>801</v>
      </c>
      <c r="B1017" s="319"/>
      <c r="C1017" s="332"/>
      <c r="D1017" s="148"/>
      <c r="E1017" s="148"/>
      <c r="F1017" s="148"/>
      <c r="G1017" s="148">
        <v>1</v>
      </c>
      <c r="H1017" s="148">
        <v>7</v>
      </c>
      <c r="I1017" s="148"/>
      <c r="J1017" s="170">
        <f t="shared" si="50"/>
        <v>7</v>
      </c>
      <c r="K1017" s="10"/>
      <c r="L1017" s="10"/>
      <c r="M1017" s="10"/>
      <c r="N1017" s="10"/>
      <c r="O1017" s="10"/>
      <c r="P1017" s="10"/>
      <c r="Q1017" s="10"/>
      <c r="R1017" s="10"/>
      <c r="S1017" s="10"/>
      <c r="T1017" s="10"/>
      <c r="U1017" s="10"/>
      <c r="V1017" s="10"/>
      <c r="W1017" s="10"/>
      <c r="X1017" s="10"/>
      <c r="Y1017" s="10"/>
    </row>
    <row r="1018" spans="1:25" ht="16.5" customHeight="1" x14ac:dyDescent="0.2">
      <c r="A1018" s="318" t="s">
        <v>802</v>
      </c>
      <c r="B1018" s="319"/>
      <c r="C1018" s="332"/>
      <c r="D1018" s="148"/>
      <c r="E1018" s="148"/>
      <c r="F1018" s="148"/>
      <c r="G1018" s="148">
        <v>1</v>
      </c>
      <c r="H1018" s="148">
        <v>7</v>
      </c>
      <c r="I1018" s="148"/>
      <c r="J1018" s="170">
        <f t="shared" si="50"/>
        <v>7</v>
      </c>
      <c r="K1018" s="10"/>
      <c r="L1018" s="10"/>
      <c r="M1018" s="10"/>
      <c r="N1018" s="10"/>
      <c r="O1018" s="10"/>
      <c r="P1018" s="10"/>
      <c r="Q1018" s="10"/>
      <c r="R1018" s="10"/>
      <c r="S1018" s="10"/>
      <c r="T1018" s="10"/>
      <c r="U1018" s="10"/>
      <c r="V1018" s="10"/>
      <c r="W1018" s="10"/>
      <c r="X1018" s="10"/>
      <c r="Y1018" s="10"/>
    </row>
    <row r="1019" spans="1:25" ht="16.5" customHeight="1" x14ac:dyDescent="0.2">
      <c r="A1019" s="318" t="s">
        <v>803</v>
      </c>
      <c r="B1019" s="319"/>
      <c r="C1019" s="332"/>
      <c r="D1019" s="148"/>
      <c r="E1019" s="148"/>
      <c r="F1019" s="148"/>
      <c r="G1019" s="148">
        <v>1</v>
      </c>
      <c r="H1019" s="148">
        <v>7</v>
      </c>
      <c r="I1019" s="148"/>
      <c r="J1019" s="170">
        <f t="shared" si="50"/>
        <v>7</v>
      </c>
      <c r="K1019" s="10"/>
      <c r="L1019" s="10"/>
      <c r="M1019" s="10"/>
      <c r="N1019" s="10"/>
      <c r="O1019" s="10"/>
      <c r="P1019" s="10"/>
      <c r="Q1019" s="10"/>
      <c r="R1019" s="10"/>
      <c r="S1019" s="10"/>
      <c r="T1019" s="10"/>
      <c r="U1019" s="10"/>
      <c r="V1019" s="10"/>
      <c r="W1019" s="10"/>
      <c r="X1019" s="10"/>
      <c r="Y1019" s="10"/>
    </row>
    <row r="1020" spans="1:25" ht="16.5" customHeight="1" x14ac:dyDescent="0.2">
      <c r="A1020" s="318" t="s">
        <v>804</v>
      </c>
      <c r="B1020" s="319"/>
      <c r="C1020" s="332"/>
      <c r="D1020" s="148"/>
      <c r="E1020" s="148"/>
      <c r="F1020" s="148"/>
      <c r="G1020" s="148">
        <v>1</v>
      </c>
      <c r="H1020" s="148">
        <v>7</v>
      </c>
      <c r="I1020" s="148"/>
      <c r="J1020" s="170">
        <f t="shared" si="50"/>
        <v>7</v>
      </c>
      <c r="K1020" s="10"/>
      <c r="L1020" s="10"/>
      <c r="M1020" s="10"/>
      <c r="N1020" s="10"/>
      <c r="O1020" s="10"/>
      <c r="P1020" s="10"/>
      <c r="Q1020" s="10"/>
      <c r="R1020" s="10"/>
      <c r="S1020" s="10"/>
      <c r="T1020" s="10"/>
      <c r="U1020" s="10"/>
      <c r="V1020" s="10"/>
      <c r="W1020" s="10"/>
      <c r="X1020" s="10"/>
      <c r="Y1020" s="10"/>
    </row>
    <row r="1021" spans="1:25" ht="16.5" customHeight="1" x14ac:dyDescent="0.2">
      <c r="A1021" s="318" t="s">
        <v>467</v>
      </c>
      <c r="B1021" s="319"/>
      <c r="C1021" s="332"/>
      <c r="D1021" s="148"/>
      <c r="E1021" s="148"/>
      <c r="F1021" s="148"/>
      <c r="G1021" s="148">
        <v>1</v>
      </c>
      <c r="H1021" s="148">
        <v>7</v>
      </c>
      <c r="I1021" s="148"/>
      <c r="J1021" s="170">
        <f t="shared" si="50"/>
        <v>7</v>
      </c>
      <c r="K1021" s="10"/>
      <c r="L1021" s="10"/>
      <c r="M1021" s="10"/>
      <c r="N1021" s="10"/>
      <c r="O1021" s="10"/>
      <c r="P1021" s="10"/>
      <c r="Q1021" s="10"/>
      <c r="R1021" s="10"/>
      <c r="S1021" s="10"/>
      <c r="T1021" s="10"/>
      <c r="U1021" s="10"/>
      <c r="V1021" s="10"/>
      <c r="W1021" s="10"/>
      <c r="X1021" s="10"/>
      <c r="Y1021" s="10"/>
    </row>
    <row r="1022" spans="1:25" ht="16.5" customHeight="1" x14ac:dyDescent="0.2">
      <c r="A1022" s="342" t="str">
        <f>"TOTAL - "&amp;'Planilha orçamentária'!F81</f>
        <v>TOTAL - UN</v>
      </c>
      <c r="B1022" s="342"/>
      <c r="C1022" s="342"/>
      <c r="D1022" s="342"/>
      <c r="E1022" s="342"/>
      <c r="F1022" s="342"/>
      <c r="G1022" s="342"/>
      <c r="H1022" s="342"/>
      <c r="I1022" s="342"/>
      <c r="J1022" s="149">
        <f>SUM(J1006:J1021)</f>
        <v>112</v>
      </c>
      <c r="K1022" s="10"/>
      <c r="L1022" s="10"/>
      <c r="M1022" s="10"/>
      <c r="N1022" s="10"/>
      <c r="O1022" s="10"/>
      <c r="P1022" s="10"/>
      <c r="Q1022" s="10"/>
      <c r="R1022" s="10"/>
      <c r="S1022" s="10"/>
      <c r="T1022" s="10"/>
      <c r="U1022" s="10"/>
      <c r="V1022" s="10"/>
      <c r="W1022" s="10"/>
      <c r="X1022" s="10"/>
      <c r="Y1022" s="10"/>
    </row>
    <row r="1023" spans="1:25" ht="16.5" customHeight="1" x14ac:dyDescent="0.2">
      <c r="A1023" s="35">
        <f>'Planilha orçamentária'!A83</f>
        <v>11</v>
      </c>
      <c r="B1023" s="397" t="str">
        <f>'Planilha orçamentária'!D83</f>
        <v>ESQUADRIAS</v>
      </c>
      <c r="C1023" s="393"/>
      <c r="D1023" s="393"/>
      <c r="E1023" s="393"/>
      <c r="F1023" s="393"/>
      <c r="G1023" s="393"/>
      <c r="H1023" s="393"/>
      <c r="I1023" s="393"/>
      <c r="J1023" s="393"/>
      <c r="K1023" s="10"/>
      <c r="L1023" s="10"/>
      <c r="M1023" s="10"/>
      <c r="N1023" s="10"/>
      <c r="O1023" s="10"/>
      <c r="P1023" s="10"/>
      <c r="Q1023" s="10"/>
      <c r="R1023" s="10"/>
      <c r="S1023" s="10"/>
      <c r="T1023" s="10"/>
      <c r="U1023" s="10"/>
      <c r="V1023" s="10"/>
      <c r="W1023" s="10"/>
      <c r="X1023" s="10"/>
      <c r="Y1023" s="10"/>
    </row>
    <row r="1024" spans="1:25" ht="16.5" customHeight="1" x14ac:dyDescent="0.2">
      <c r="A1024" s="184" t="str">
        <f>'Planilha orçamentária'!A84</f>
        <v>11.1</v>
      </c>
      <c r="B1024" s="343" t="str">
        <f>'Planilha orçamentária'!D84</f>
        <v>Porta de abrir, madeira de lei prancheta para pintura completa 80 x 210 cm, com ferragens em ferro latonado</v>
      </c>
      <c r="C1024" s="344"/>
      <c r="D1024" s="344"/>
      <c r="E1024" s="344"/>
      <c r="F1024" s="344"/>
      <c r="G1024" s="344"/>
      <c r="H1024" s="344"/>
      <c r="I1024" s="344"/>
      <c r="J1024" s="344"/>
      <c r="K1024" s="10"/>
      <c r="L1024" s="10"/>
      <c r="M1024" s="10"/>
      <c r="N1024" s="10"/>
      <c r="O1024" s="10"/>
      <c r="P1024" s="10"/>
      <c r="Q1024" s="10"/>
      <c r="R1024" s="10"/>
      <c r="S1024" s="10"/>
      <c r="T1024" s="10"/>
      <c r="U1024" s="10"/>
      <c r="V1024" s="10"/>
      <c r="W1024" s="10"/>
      <c r="X1024" s="10"/>
      <c r="Y1024" s="10"/>
    </row>
    <row r="1025" spans="1:25" ht="25.5" customHeight="1" x14ac:dyDescent="0.2">
      <c r="A1025" s="327" t="s">
        <v>120</v>
      </c>
      <c r="B1025" s="328"/>
      <c r="C1025" s="328"/>
      <c r="D1025" s="182" t="s">
        <v>121</v>
      </c>
      <c r="E1025" s="182" t="s">
        <v>122</v>
      </c>
      <c r="F1025" s="181" t="s">
        <v>123</v>
      </c>
      <c r="G1025" s="181" t="s">
        <v>124</v>
      </c>
      <c r="H1025" s="181" t="s">
        <v>489</v>
      </c>
      <c r="I1025" s="182" t="s">
        <v>125</v>
      </c>
      <c r="J1025" s="182" t="s">
        <v>113</v>
      </c>
      <c r="K1025" s="10"/>
      <c r="L1025" s="10"/>
      <c r="M1025" s="10"/>
      <c r="N1025" s="10"/>
      <c r="O1025" s="10"/>
      <c r="P1025" s="10"/>
      <c r="Q1025" s="10"/>
      <c r="R1025" s="10"/>
      <c r="S1025" s="10"/>
      <c r="T1025" s="10"/>
      <c r="U1025" s="10"/>
      <c r="V1025" s="10"/>
      <c r="W1025" s="10"/>
      <c r="X1025" s="10"/>
      <c r="Y1025" s="10"/>
    </row>
    <row r="1026" spans="1:25" ht="16.5" customHeight="1" x14ac:dyDescent="0.2">
      <c r="A1026" s="318" t="s">
        <v>671</v>
      </c>
      <c r="B1026" s="319"/>
      <c r="C1026" s="332"/>
      <c r="D1026" s="148"/>
      <c r="E1026" s="148"/>
      <c r="F1026" s="148"/>
      <c r="G1026" s="148">
        <v>1</v>
      </c>
      <c r="H1026" s="148">
        <v>7</v>
      </c>
      <c r="I1026" s="148"/>
      <c r="J1026" s="170">
        <f t="shared" ref="J1026:J1041" si="51">PRODUCT(D1026:H1026)-I1026</f>
        <v>7</v>
      </c>
      <c r="K1026" s="10"/>
      <c r="L1026" s="10"/>
      <c r="M1026" s="10"/>
      <c r="N1026" s="10"/>
      <c r="O1026" s="10"/>
      <c r="P1026" s="10"/>
      <c r="Q1026" s="10"/>
      <c r="R1026" s="10"/>
      <c r="S1026" s="10"/>
      <c r="T1026" s="10"/>
      <c r="U1026" s="10"/>
      <c r="V1026" s="10"/>
      <c r="W1026" s="10"/>
      <c r="X1026" s="10"/>
      <c r="Y1026" s="10"/>
    </row>
    <row r="1027" spans="1:25" ht="16.5" customHeight="1" x14ac:dyDescent="0.2">
      <c r="A1027" s="318" t="s">
        <v>672</v>
      </c>
      <c r="B1027" s="319"/>
      <c r="C1027" s="332"/>
      <c r="D1027" s="148"/>
      <c r="E1027" s="148"/>
      <c r="F1027" s="148"/>
      <c r="G1027" s="148">
        <v>1</v>
      </c>
      <c r="H1027" s="148">
        <v>7</v>
      </c>
      <c r="I1027" s="148"/>
      <c r="J1027" s="170">
        <f t="shared" si="51"/>
        <v>7</v>
      </c>
      <c r="K1027" s="10"/>
      <c r="L1027" s="10"/>
      <c r="M1027" s="10"/>
      <c r="N1027" s="10"/>
      <c r="O1027" s="10"/>
      <c r="P1027" s="10"/>
      <c r="Q1027" s="10"/>
      <c r="R1027" s="10"/>
      <c r="S1027" s="10"/>
      <c r="T1027" s="10"/>
      <c r="U1027" s="10"/>
      <c r="V1027" s="10"/>
      <c r="W1027" s="10"/>
      <c r="X1027" s="10"/>
      <c r="Y1027" s="10"/>
    </row>
    <row r="1028" spans="1:25" s="166" customFormat="1" ht="16.5" customHeight="1" x14ac:dyDescent="0.2">
      <c r="A1028" s="318" t="s">
        <v>765</v>
      </c>
      <c r="B1028" s="319"/>
      <c r="C1028" s="332"/>
      <c r="D1028" s="148"/>
      <c r="E1028" s="148"/>
      <c r="F1028" s="148"/>
      <c r="G1028" s="148">
        <v>4</v>
      </c>
      <c r="H1028" s="148">
        <v>7</v>
      </c>
      <c r="I1028" s="148"/>
      <c r="J1028" s="170">
        <f t="shared" si="51"/>
        <v>28</v>
      </c>
      <c r="K1028" s="10"/>
      <c r="L1028" s="10"/>
      <c r="M1028" s="10"/>
      <c r="N1028" s="10"/>
      <c r="O1028" s="10"/>
      <c r="P1028" s="10"/>
      <c r="Q1028" s="10"/>
      <c r="R1028" s="10"/>
      <c r="S1028" s="10"/>
      <c r="T1028" s="10"/>
      <c r="U1028" s="10"/>
      <c r="V1028" s="10"/>
      <c r="W1028" s="10"/>
      <c r="X1028" s="10"/>
      <c r="Y1028" s="10"/>
    </row>
    <row r="1029" spans="1:25" ht="16.5" customHeight="1" x14ac:dyDescent="0.2">
      <c r="A1029" s="318" t="s">
        <v>766</v>
      </c>
      <c r="B1029" s="319"/>
      <c r="C1029" s="332"/>
      <c r="D1029" s="148"/>
      <c r="E1029" s="148"/>
      <c r="F1029" s="148"/>
      <c r="G1029" s="148">
        <v>1</v>
      </c>
      <c r="H1029" s="148">
        <v>7</v>
      </c>
      <c r="I1029" s="148"/>
      <c r="J1029" s="170">
        <f t="shared" si="51"/>
        <v>7</v>
      </c>
      <c r="K1029" s="10"/>
      <c r="L1029" s="10"/>
      <c r="M1029" s="10"/>
      <c r="N1029" s="10"/>
      <c r="O1029" s="10"/>
      <c r="P1029" s="10"/>
      <c r="Q1029" s="10"/>
      <c r="R1029" s="10"/>
      <c r="S1029" s="10"/>
      <c r="T1029" s="10"/>
      <c r="U1029" s="10"/>
      <c r="V1029" s="10"/>
      <c r="W1029" s="10"/>
      <c r="X1029" s="10"/>
      <c r="Y1029" s="10"/>
    </row>
    <row r="1030" spans="1:25" ht="16.5" customHeight="1" x14ac:dyDescent="0.2">
      <c r="A1030" s="318" t="s">
        <v>794</v>
      </c>
      <c r="B1030" s="319"/>
      <c r="C1030" s="332"/>
      <c r="D1030" s="148"/>
      <c r="E1030" s="148"/>
      <c r="F1030" s="148"/>
      <c r="G1030" s="148">
        <v>1</v>
      </c>
      <c r="H1030" s="148">
        <v>7</v>
      </c>
      <c r="I1030" s="148"/>
      <c r="J1030" s="170">
        <f t="shared" si="51"/>
        <v>7</v>
      </c>
      <c r="K1030" s="10"/>
      <c r="L1030" s="10"/>
      <c r="M1030" s="10"/>
      <c r="N1030" s="10"/>
      <c r="O1030" s="10"/>
      <c r="P1030" s="10"/>
      <c r="Q1030" s="10"/>
      <c r="R1030" s="10"/>
      <c r="S1030" s="10"/>
      <c r="T1030" s="10"/>
      <c r="U1030" s="10"/>
      <c r="V1030" s="10"/>
      <c r="W1030" s="10"/>
      <c r="X1030" s="10"/>
      <c r="Y1030" s="10"/>
    </row>
    <row r="1031" spans="1:25" ht="16.5" customHeight="1" x14ac:dyDescent="0.2">
      <c r="A1031" s="318" t="s">
        <v>795</v>
      </c>
      <c r="B1031" s="319"/>
      <c r="C1031" s="332"/>
      <c r="D1031" s="148"/>
      <c r="E1031" s="148"/>
      <c r="F1031" s="148"/>
      <c r="G1031" s="148">
        <v>1</v>
      </c>
      <c r="H1031" s="148">
        <v>7</v>
      </c>
      <c r="I1031" s="148"/>
      <c r="J1031" s="170">
        <f t="shared" si="51"/>
        <v>7</v>
      </c>
      <c r="K1031" s="10"/>
      <c r="L1031" s="10"/>
      <c r="M1031" s="10"/>
      <c r="N1031" s="10"/>
      <c r="O1031" s="10"/>
      <c r="P1031" s="10"/>
      <c r="Q1031" s="10"/>
      <c r="R1031" s="10"/>
      <c r="S1031" s="10"/>
      <c r="T1031" s="10"/>
      <c r="U1031" s="10"/>
      <c r="V1031" s="10"/>
      <c r="W1031" s="10"/>
      <c r="X1031" s="10"/>
      <c r="Y1031" s="10"/>
    </row>
    <row r="1032" spans="1:25" ht="16.5" customHeight="1" x14ac:dyDescent="0.2">
      <c r="A1032" s="318" t="s">
        <v>796</v>
      </c>
      <c r="B1032" s="319"/>
      <c r="C1032" s="332"/>
      <c r="D1032" s="148"/>
      <c r="E1032" s="148"/>
      <c r="F1032" s="148"/>
      <c r="G1032" s="148">
        <v>1</v>
      </c>
      <c r="H1032" s="148">
        <v>7</v>
      </c>
      <c r="I1032" s="148"/>
      <c r="J1032" s="170">
        <f t="shared" si="51"/>
        <v>7</v>
      </c>
      <c r="K1032" s="10"/>
      <c r="L1032" s="10"/>
      <c r="M1032" s="10"/>
      <c r="N1032" s="10"/>
      <c r="O1032" s="10"/>
      <c r="P1032" s="10"/>
      <c r="Q1032" s="10"/>
      <c r="R1032" s="10"/>
      <c r="S1032" s="10"/>
      <c r="T1032" s="10"/>
      <c r="U1032" s="10"/>
      <c r="V1032" s="10"/>
      <c r="W1032" s="10"/>
      <c r="X1032" s="10"/>
      <c r="Y1032" s="10"/>
    </row>
    <row r="1033" spans="1:25" ht="16.5" customHeight="1" x14ac:dyDescent="0.2">
      <c r="A1033" s="318" t="s">
        <v>797</v>
      </c>
      <c r="B1033" s="319"/>
      <c r="C1033" s="332"/>
      <c r="D1033" s="148"/>
      <c r="E1033" s="148"/>
      <c r="F1033" s="148"/>
      <c r="G1033" s="148">
        <v>1</v>
      </c>
      <c r="H1033" s="148">
        <v>7</v>
      </c>
      <c r="I1033" s="148"/>
      <c r="J1033" s="170">
        <f t="shared" si="51"/>
        <v>7</v>
      </c>
      <c r="K1033" s="10"/>
      <c r="L1033" s="10"/>
      <c r="M1033" s="10"/>
      <c r="N1033" s="10"/>
      <c r="O1033" s="10"/>
      <c r="P1033" s="10"/>
      <c r="Q1033" s="10"/>
      <c r="R1033" s="10"/>
      <c r="S1033" s="10"/>
      <c r="T1033" s="10"/>
      <c r="U1033" s="10"/>
      <c r="V1033" s="10"/>
      <c r="W1033" s="10"/>
      <c r="X1033" s="10"/>
      <c r="Y1033" s="10"/>
    </row>
    <row r="1034" spans="1:25" ht="16.5" customHeight="1" x14ac:dyDescent="0.2">
      <c r="A1034" s="318" t="s">
        <v>798</v>
      </c>
      <c r="B1034" s="319"/>
      <c r="C1034" s="332"/>
      <c r="D1034" s="148"/>
      <c r="E1034" s="148"/>
      <c r="F1034" s="148"/>
      <c r="G1034" s="148">
        <v>1</v>
      </c>
      <c r="H1034" s="148">
        <v>7</v>
      </c>
      <c r="I1034" s="148"/>
      <c r="J1034" s="170">
        <f t="shared" si="51"/>
        <v>7</v>
      </c>
      <c r="K1034" s="10"/>
      <c r="L1034" s="10"/>
      <c r="M1034" s="10"/>
      <c r="N1034" s="10"/>
      <c r="O1034" s="10"/>
      <c r="P1034" s="10"/>
      <c r="Q1034" s="10"/>
      <c r="R1034" s="10"/>
      <c r="S1034" s="10"/>
      <c r="T1034" s="10"/>
      <c r="U1034" s="10"/>
      <c r="V1034" s="10"/>
      <c r="W1034" s="10"/>
      <c r="X1034" s="10"/>
      <c r="Y1034" s="10"/>
    </row>
    <row r="1035" spans="1:25" ht="16.5" customHeight="1" x14ac:dyDescent="0.2">
      <c r="A1035" s="318" t="s">
        <v>799</v>
      </c>
      <c r="B1035" s="319"/>
      <c r="C1035" s="332"/>
      <c r="D1035" s="148"/>
      <c r="E1035" s="148"/>
      <c r="F1035" s="148"/>
      <c r="G1035" s="148">
        <v>1</v>
      </c>
      <c r="H1035" s="148">
        <v>7</v>
      </c>
      <c r="I1035" s="148"/>
      <c r="J1035" s="170">
        <f t="shared" si="51"/>
        <v>7</v>
      </c>
      <c r="K1035" s="10"/>
      <c r="L1035" s="10"/>
      <c r="M1035" s="10"/>
      <c r="N1035" s="10"/>
      <c r="O1035" s="10"/>
      <c r="P1035" s="10"/>
      <c r="Q1035" s="10"/>
      <c r="R1035" s="10"/>
      <c r="S1035" s="10"/>
      <c r="T1035" s="10"/>
      <c r="U1035" s="10"/>
      <c r="V1035" s="10"/>
      <c r="W1035" s="10"/>
      <c r="X1035" s="10"/>
      <c r="Y1035" s="10"/>
    </row>
    <row r="1036" spans="1:25" ht="16.5" customHeight="1" x14ac:dyDescent="0.2">
      <c r="A1036" s="318" t="s">
        <v>681</v>
      </c>
      <c r="B1036" s="319"/>
      <c r="C1036" s="332"/>
      <c r="D1036" s="148"/>
      <c r="E1036" s="148"/>
      <c r="F1036" s="148"/>
      <c r="G1036" s="148">
        <v>1</v>
      </c>
      <c r="H1036" s="148">
        <v>7</v>
      </c>
      <c r="I1036" s="148"/>
      <c r="J1036" s="170">
        <f t="shared" si="51"/>
        <v>7</v>
      </c>
      <c r="K1036" s="10"/>
      <c r="L1036" s="10"/>
      <c r="M1036" s="10"/>
      <c r="N1036" s="10"/>
      <c r="O1036" s="10"/>
      <c r="P1036" s="10"/>
      <c r="Q1036" s="10"/>
      <c r="R1036" s="10"/>
      <c r="S1036" s="10"/>
      <c r="T1036" s="10"/>
      <c r="U1036" s="10"/>
      <c r="V1036" s="10"/>
      <c r="W1036" s="10"/>
      <c r="X1036" s="10"/>
      <c r="Y1036" s="10"/>
    </row>
    <row r="1037" spans="1:25" ht="16.5" customHeight="1" x14ac:dyDescent="0.2">
      <c r="A1037" s="318" t="s">
        <v>800</v>
      </c>
      <c r="B1037" s="319"/>
      <c r="C1037" s="332"/>
      <c r="D1037" s="148"/>
      <c r="E1037" s="148"/>
      <c r="F1037" s="148"/>
      <c r="G1037" s="148">
        <v>1</v>
      </c>
      <c r="H1037" s="148">
        <v>7</v>
      </c>
      <c r="I1037" s="148"/>
      <c r="J1037" s="170">
        <f t="shared" si="51"/>
        <v>7</v>
      </c>
      <c r="K1037" s="10"/>
      <c r="L1037" s="10"/>
      <c r="M1037" s="10"/>
      <c r="N1037" s="10"/>
      <c r="O1037" s="10"/>
      <c r="P1037" s="10"/>
      <c r="Q1037" s="10"/>
      <c r="R1037" s="10"/>
      <c r="S1037" s="10"/>
      <c r="T1037" s="10"/>
      <c r="U1037" s="10"/>
      <c r="V1037" s="10"/>
      <c r="W1037" s="10"/>
      <c r="X1037" s="10"/>
      <c r="Y1037" s="10"/>
    </row>
    <row r="1038" spans="1:25" ht="16.5" customHeight="1" x14ac:dyDescent="0.2">
      <c r="A1038" s="318" t="s">
        <v>801</v>
      </c>
      <c r="B1038" s="319"/>
      <c r="C1038" s="332"/>
      <c r="D1038" s="148"/>
      <c r="E1038" s="148"/>
      <c r="F1038" s="148"/>
      <c r="G1038" s="148">
        <v>1</v>
      </c>
      <c r="H1038" s="148">
        <v>7</v>
      </c>
      <c r="I1038" s="148"/>
      <c r="J1038" s="170">
        <f t="shared" si="51"/>
        <v>7</v>
      </c>
      <c r="K1038" s="10"/>
      <c r="L1038" s="10"/>
      <c r="M1038" s="10"/>
      <c r="N1038" s="10"/>
      <c r="O1038" s="10"/>
      <c r="P1038" s="10"/>
      <c r="Q1038" s="10"/>
      <c r="R1038" s="10"/>
      <c r="S1038" s="10"/>
      <c r="T1038" s="10"/>
      <c r="U1038" s="10"/>
      <c r="V1038" s="10"/>
      <c r="W1038" s="10"/>
      <c r="X1038" s="10"/>
      <c r="Y1038" s="10"/>
    </row>
    <row r="1039" spans="1:25" ht="16.5" customHeight="1" x14ac:dyDescent="0.2">
      <c r="A1039" s="318" t="s">
        <v>802</v>
      </c>
      <c r="B1039" s="319"/>
      <c r="C1039" s="332"/>
      <c r="D1039" s="148"/>
      <c r="E1039" s="148"/>
      <c r="F1039" s="148"/>
      <c r="G1039" s="148">
        <v>1</v>
      </c>
      <c r="H1039" s="148">
        <v>7</v>
      </c>
      <c r="I1039" s="148"/>
      <c r="J1039" s="170">
        <f t="shared" si="51"/>
        <v>7</v>
      </c>
      <c r="K1039" s="10"/>
      <c r="L1039" s="10"/>
      <c r="M1039" s="10"/>
      <c r="N1039" s="10"/>
      <c r="O1039" s="10"/>
      <c r="P1039" s="10"/>
      <c r="Q1039" s="10"/>
      <c r="R1039" s="10"/>
      <c r="S1039" s="10"/>
      <c r="T1039" s="10"/>
      <c r="U1039" s="10"/>
      <c r="V1039" s="10"/>
      <c r="W1039" s="10"/>
      <c r="X1039" s="10"/>
      <c r="Y1039" s="10"/>
    </row>
    <row r="1040" spans="1:25" ht="16.5" customHeight="1" x14ac:dyDescent="0.2">
      <c r="A1040" s="318" t="s">
        <v>803</v>
      </c>
      <c r="B1040" s="319"/>
      <c r="C1040" s="332"/>
      <c r="D1040" s="148"/>
      <c r="E1040" s="148"/>
      <c r="F1040" s="148"/>
      <c r="G1040" s="148">
        <v>1</v>
      </c>
      <c r="H1040" s="148">
        <v>7</v>
      </c>
      <c r="I1040" s="148"/>
      <c r="J1040" s="170">
        <f t="shared" si="51"/>
        <v>7</v>
      </c>
      <c r="K1040" s="10"/>
      <c r="L1040" s="10"/>
      <c r="M1040" s="10"/>
      <c r="N1040" s="10"/>
      <c r="O1040" s="10"/>
      <c r="P1040" s="10"/>
      <c r="Q1040" s="10"/>
      <c r="R1040" s="10"/>
      <c r="S1040" s="10"/>
      <c r="T1040" s="10"/>
      <c r="U1040" s="10"/>
      <c r="V1040" s="10"/>
      <c r="W1040" s="10"/>
      <c r="X1040" s="10"/>
      <c r="Y1040" s="10"/>
    </row>
    <row r="1041" spans="1:25" ht="16.5" customHeight="1" x14ac:dyDescent="0.2">
      <c r="A1041" s="318" t="s">
        <v>804</v>
      </c>
      <c r="B1041" s="319"/>
      <c r="C1041" s="332"/>
      <c r="D1041" s="148"/>
      <c r="E1041" s="148"/>
      <c r="F1041" s="148"/>
      <c r="G1041" s="148">
        <v>1</v>
      </c>
      <c r="H1041" s="148">
        <v>7</v>
      </c>
      <c r="I1041" s="148"/>
      <c r="J1041" s="170">
        <f t="shared" si="51"/>
        <v>7</v>
      </c>
      <c r="K1041" s="10"/>
      <c r="L1041" s="10"/>
      <c r="M1041" s="10"/>
      <c r="N1041" s="10"/>
      <c r="O1041" s="10"/>
      <c r="P1041" s="10"/>
      <c r="Q1041" s="10"/>
      <c r="R1041" s="10"/>
      <c r="S1041" s="10"/>
      <c r="T1041" s="10"/>
      <c r="U1041" s="10"/>
      <c r="V1041" s="10"/>
      <c r="W1041" s="10"/>
      <c r="X1041" s="10"/>
      <c r="Y1041" s="10"/>
    </row>
    <row r="1042" spans="1:25" ht="16.5" customHeight="1" x14ac:dyDescent="0.2">
      <c r="A1042" s="342" t="str">
        <f>"TOTAL - "&amp;'Planilha orçamentária'!F84</f>
        <v>TOTAL - UN</v>
      </c>
      <c r="B1042" s="342"/>
      <c r="C1042" s="342"/>
      <c r="D1042" s="342"/>
      <c r="E1042" s="342"/>
      <c r="F1042" s="342"/>
      <c r="G1042" s="342"/>
      <c r="H1042" s="342"/>
      <c r="I1042" s="342"/>
      <c r="J1042" s="149">
        <f>SUM(J1026:J1041)</f>
        <v>133</v>
      </c>
      <c r="K1042" s="10"/>
      <c r="L1042" s="10"/>
      <c r="M1042" s="10"/>
      <c r="N1042" s="10"/>
      <c r="O1042" s="10"/>
      <c r="P1042" s="10"/>
      <c r="Q1042" s="10"/>
      <c r="R1042" s="10"/>
      <c r="S1042" s="10"/>
      <c r="T1042" s="10"/>
      <c r="U1042" s="10"/>
      <c r="V1042" s="10"/>
      <c r="W1042" s="10"/>
      <c r="X1042" s="10"/>
      <c r="Y1042" s="10"/>
    </row>
    <row r="1043" spans="1:25" ht="16.5" customHeight="1" x14ac:dyDescent="0.2">
      <c r="A1043" s="184" t="str">
        <f>'Planilha orçamentária'!A85</f>
        <v>11.2</v>
      </c>
      <c r="B1043" s="343" t="str">
        <f>'Planilha orçamentária'!D85</f>
        <v>Porta de abrir, madeira de lei prancheta para pintura completa 70 x 210 cm, com ferragens em ferro latonado</v>
      </c>
      <c r="C1043" s="344"/>
      <c r="D1043" s="344"/>
      <c r="E1043" s="344"/>
      <c r="F1043" s="344"/>
      <c r="G1043" s="344"/>
      <c r="H1043" s="344"/>
      <c r="I1043" s="344"/>
      <c r="J1043" s="344"/>
      <c r="K1043" s="10"/>
      <c r="L1043" s="10"/>
      <c r="M1043" s="10"/>
      <c r="N1043" s="10"/>
      <c r="O1043" s="10"/>
      <c r="P1043" s="10"/>
      <c r="Q1043" s="10"/>
      <c r="R1043" s="10"/>
      <c r="S1043" s="10"/>
      <c r="T1043" s="10"/>
      <c r="U1043" s="10"/>
      <c r="V1043" s="10"/>
      <c r="W1043" s="10"/>
      <c r="X1043" s="10"/>
      <c r="Y1043" s="10"/>
    </row>
    <row r="1044" spans="1:25" ht="25.5" customHeight="1" x14ac:dyDescent="0.2">
      <c r="A1044" s="327" t="s">
        <v>120</v>
      </c>
      <c r="B1044" s="328"/>
      <c r="C1044" s="328"/>
      <c r="D1044" s="182" t="s">
        <v>121</v>
      </c>
      <c r="E1044" s="182" t="s">
        <v>122</v>
      </c>
      <c r="F1044" s="181" t="s">
        <v>123</v>
      </c>
      <c r="G1044" s="181" t="s">
        <v>124</v>
      </c>
      <c r="H1044" s="181" t="s">
        <v>489</v>
      </c>
      <c r="I1044" s="182" t="s">
        <v>125</v>
      </c>
      <c r="J1044" s="182" t="s">
        <v>113</v>
      </c>
      <c r="K1044" s="10"/>
      <c r="L1044" s="10"/>
      <c r="M1044" s="10"/>
      <c r="N1044" s="10"/>
      <c r="O1044" s="10"/>
      <c r="P1044" s="10"/>
      <c r="Q1044" s="10"/>
      <c r="R1044" s="10"/>
      <c r="S1044" s="10"/>
      <c r="T1044" s="10"/>
      <c r="U1044" s="10"/>
      <c r="V1044" s="10"/>
      <c r="W1044" s="10"/>
      <c r="X1044" s="10"/>
      <c r="Y1044" s="10"/>
    </row>
    <row r="1045" spans="1:25" ht="16.5" customHeight="1" x14ac:dyDescent="0.2">
      <c r="A1045" s="318" t="s">
        <v>671</v>
      </c>
      <c r="B1045" s="319"/>
      <c r="C1045" s="332"/>
      <c r="D1045" s="148"/>
      <c r="E1045" s="148"/>
      <c r="F1045" s="148"/>
      <c r="G1045" s="148">
        <v>3</v>
      </c>
      <c r="H1045" s="148">
        <v>7</v>
      </c>
      <c r="I1045" s="148"/>
      <c r="J1045" s="170">
        <f t="shared" ref="J1045:J1059" si="52">PRODUCT(D1045:H1045)-I1045</f>
        <v>21</v>
      </c>
      <c r="K1045" s="10"/>
      <c r="L1045" s="10"/>
      <c r="M1045" s="10"/>
      <c r="N1045" s="10"/>
      <c r="O1045" s="10"/>
      <c r="P1045" s="10"/>
      <c r="Q1045" s="10"/>
      <c r="R1045" s="10"/>
      <c r="S1045" s="10"/>
      <c r="T1045" s="10"/>
      <c r="U1045" s="10"/>
      <c r="V1045" s="10"/>
      <c r="W1045" s="10"/>
      <c r="X1045" s="10"/>
      <c r="Y1045" s="10"/>
    </row>
    <row r="1046" spans="1:25" ht="16.5" customHeight="1" x14ac:dyDescent="0.2">
      <c r="A1046" s="318" t="s">
        <v>672</v>
      </c>
      <c r="B1046" s="319"/>
      <c r="C1046" s="332"/>
      <c r="D1046" s="148"/>
      <c r="E1046" s="148"/>
      <c r="F1046" s="148"/>
      <c r="G1046" s="148">
        <v>3</v>
      </c>
      <c r="H1046" s="148">
        <v>7</v>
      </c>
      <c r="I1046" s="148"/>
      <c r="J1046" s="170">
        <f t="shared" si="52"/>
        <v>21</v>
      </c>
      <c r="K1046" s="10"/>
      <c r="L1046" s="10"/>
      <c r="M1046" s="10"/>
      <c r="N1046" s="10"/>
      <c r="O1046" s="10"/>
      <c r="P1046" s="10"/>
      <c r="Q1046" s="10"/>
      <c r="R1046" s="10"/>
      <c r="S1046" s="10"/>
      <c r="T1046" s="10"/>
      <c r="U1046" s="10"/>
      <c r="V1046" s="10"/>
      <c r="W1046" s="10"/>
      <c r="X1046" s="10"/>
      <c r="Y1046" s="10"/>
    </row>
    <row r="1047" spans="1:25" ht="16.5" customHeight="1" x14ac:dyDescent="0.2">
      <c r="A1047" s="318" t="s">
        <v>766</v>
      </c>
      <c r="B1047" s="319"/>
      <c r="C1047" s="332"/>
      <c r="D1047" s="148"/>
      <c r="E1047" s="148"/>
      <c r="F1047" s="148"/>
      <c r="G1047" s="148">
        <v>3</v>
      </c>
      <c r="H1047" s="148">
        <v>7</v>
      </c>
      <c r="I1047" s="148"/>
      <c r="J1047" s="170">
        <f t="shared" si="52"/>
        <v>21</v>
      </c>
      <c r="K1047" s="10"/>
      <c r="L1047" s="10"/>
      <c r="M1047" s="10"/>
      <c r="N1047" s="10"/>
      <c r="O1047" s="10"/>
      <c r="P1047" s="10"/>
      <c r="Q1047" s="10"/>
      <c r="R1047" s="10"/>
      <c r="S1047" s="10"/>
      <c r="T1047" s="10"/>
      <c r="U1047" s="10"/>
      <c r="V1047" s="10"/>
      <c r="W1047" s="10"/>
      <c r="X1047" s="10"/>
      <c r="Y1047" s="10"/>
    </row>
    <row r="1048" spans="1:25" ht="16.5" customHeight="1" x14ac:dyDescent="0.2">
      <c r="A1048" s="318" t="s">
        <v>794</v>
      </c>
      <c r="B1048" s="319"/>
      <c r="C1048" s="332"/>
      <c r="D1048" s="148"/>
      <c r="E1048" s="148"/>
      <c r="F1048" s="148"/>
      <c r="G1048" s="148">
        <v>3</v>
      </c>
      <c r="H1048" s="148">
        <v>7</v>
      </c>
      <c r="I1048" s="148"/>
      <c r="J1048" s="170">
        <f t="shared" si="52"/>
        <v>21</v>
      </c>
      <c r="K1048" s="10"/>
      <c r="L1048" s="10"/>
      <c r="M1048" s="10"/>
      <c r="N1048" s="10"/>
      <c r="O1048" s="10"/>
      <c r="P1048" s="10"/>
      <c r="Q1048" s="10"/>
      <c r="R1048" s="10"/>
      <c r="S1048" s="10"/>
      <c r="T1048" s="10"/>
      <c r="U1048" s="10"/>
      <c r="V1048" s="10"/>
      <c r="W1048" s="10"/>
      <c r="X1048" s="10"/>
      <c r="Y1048" s="10"/>
    </row>
    <row r="1049" spans="1:25" ht="16.5" customHeight="1" x14ac:dyDescent="0.2">
      <c r="A1049" s="318" t="s">
        <v>795</v>
      </c>
      <c r="B1049" s="319"/>
      <c r="C1049" s="332"/>
      <c r="D1049" s="148"/>
      <c r="E1049" s="148"/>
      <c r="F1049" s="148"/>
      <c r="G1049" s="148">
        <v>3</v>
      </c>
      <c r="H1049" s="148">
        <v>7</v>
      </c>
      <c r="I1049" s="148"/>
      <c r="J1049" s="170">
        <f t="shared" si="52"/>
        <v>21</v>
      </c>
      <c r="K1049" s="10"/>
      <c r="L1049" s="10"/>
      <c r="M1049" s="10"/>
      <c r="N1049" s="10"/>
      <c r="O1049" s="10"/>
      <c r="P1049" s="10"/>
      <c r="Q1049" s="10"/>
      <c r="R1049" s="10"/>
      <c r="S1049" s="10"/>
      <c r="T1049" s="10"/>
      <c r="U1049" s="10"/>
      <c r="V1049" s="10"/>
      <c r="W1049" s="10"/>
      <c r="X1049" s="10"/>
      <c r="Y1049" s="10"/>
    </row>
    <row r="1050" spans="1:25" ht="16.5" customHeight="1" x14ac:dyDescent="0.2">
      <c r="A1050" s="318" t="s">
        <v>796</v>
      </c>
      <c r="B1050" s="319"/>
      <c r="C1050" s="332"/>
      <c r="D1050" s="148"/>
      <c r="E1050" s="148"/>
      <c r="F1050" s="148"/>
      <c r="G1050" s="148">
        <v>3</v>
      </c>
      <c r="H1050" s="148">
        <v>7</v>
      </c>
      <c r="I1050" s="148"/>
      <c r="J1050" s="170">
        <f t="shared" si="52"/>
        <v>21</v>
      </c>
      <c r="K1050" s="10"/>
      <c r="L1050" s="10"/>
      <c r="M1050" s="10"/>
      <c r="N1050" s="10"/>
      <c r="O1050" s="10"/>
      <c r="P1050" s="10"/>
      <c r="Q1050" s="10"/>
      <c r="R1050" s="10"/>
      <c r="S1050" s="10"/>
      <c r="T1050" s="10"/>
      <c r="U1050" s="10"/>
      <c r="V1050" s="10"/>
      <c r="W1050" s="10"/>
      <c r="X1050" s="10"/>
      <c r="Y1050" s="10"/>
    </row>
    <row r="1051" spans="1:25" ht="16.5" customHeight="1" x14ac:dyDescent="0.2">
      <c r="A1051" s="318" t="s">
        <v>797</v>
      </c>
      <c r="B1051" s="319"/>
      <c r="C1051" s="332"/>
      <c r="D1051" s="148"/>
      <c r="E1051" s="148"/>
      <c r="F1051" s="148"/>
      <c r="G1051" s="148">
        <v>3</v>
      </c>
      <c r="H1051" s="148">
        <v>7</v>
      </c>
      <c r="I1051" s="148"/>
      <c r="J1051" s="170">
        <f t="shared" si="52"/>
        <v>21</v>
      </c>
      <c r="K1051" s="10"/>
      <c r="L1051" s="10"/>
      <c r="M1051" s="10"/>
      <c r="N1051" s="10"/>
      <c r="O1051" s="10"/>
      <c r="P1051" s="10"/>
      <c r="Q1051" s="10"/>
      <c r="R1051" s="10"/>
      <c r="S1051" s="10"/>
      <c r="T1051" s="10"/>
      <c r="U1051" s="10"/>
      <c r="V1051" s="10"/>
      <c r="W1051" s="10"/>
      <c r="X1051" s="10"/>
      <c r="Y1051" s="10"/>
    </row>
    <row r="1052" spans="1:25" ht="16.5" customHeight="1" x14ac:dyDescent="0.2">
      <c r="A1052" s="318" t="s">
        <v>798</v>
      </c>
      <c r="B1052" s="319"/>
      <c r="C1052" s="332"/>
      <c r="D1052" s="148"/>
      <c r="E1052" s="148"/>
      <c r="F1052" s="148"/>
      <c r="G1052" s="148">
        <v>3</v>
      </c>
      <c r="H1052" s="148">
        <v>7</v>
      </c>
      <c r="I1052" s="148"/>
      <c r="J1052" s="170">
        <f t="shared" si="52"/>
        <v>21</v>
      </c>
      <c r="K1052" s="10"/>
      <c r="L1052" s="10"/>
      <c r="M1052" s="10"/>
      <c r="N1052" s="10"/>
      <c r="O1052" s="10"/>
      <c r="P1052" s="10"/>
      <c r="Q1052" s="10"/>
      <c r="R1052" s="10"/>
      <c r="S1052" s="10"/>
      <c r="T1052" s="10"/>
      <c r="U1052" s="10"/>
      <c r="V1052" s="10"/>
      <c r="W1052" s="10"/>
      <c r="X1052" s="10"/>
      <c r="Y1052" s="10"/>
    </row>
    <row r="1053" spans="1:25" ht="16.5" customHeight="1" x14ac:dyDescent="0.2">
      <c r="A1053" s="318" t="s">
        <v>799</v>
      </c>
      <c r="B1053" s="319"/>
      <c r="C1053" s="332"/>
      <c r="D1053" s="148"/>
      <c r="E1053" s="148"/>
      <c r="F1053" s="148"/>
      <c r="G1053" s="148">
        <v>3</v>
      </c>
      <c r="H1053" s="148">
        <v>7</v>
      </c>
      <c r="I1053" s="148"/>
      <c r="J1053" s="170">
        <f t="shared" si="52"/>
        <v>21</v>
      </c>
      <c r="K1053" s="10"/>
      <c r="L1053" s="10"/>
      <c r="M1053" s="10"/>
      <c r="N1053" s="10"/>
      <c r="O1053" s="10"/>
      <c r="P1053" s="10"/>
      <c r="Q1053" s="10"/>
      <c r="R1053" s="10"/>
      <c r="S1053" s="10"/>
      <c r="T1053" s="10"/>
      <c r="U1053" s="10"/>
      <c r="V1053" s="10"/>
      <c r="W1053" s="10"/>
      <c r="X1053" s="10"/>
      <c r="Y1053" s="10"/>
    </row>
    <row r="1054" spans="1:25" ht="16.5" customHeight="1" x14ac:dyDescent="0.2">
      <c r="A1054" s="318" t="s">
        <v>681</v>
      </c>
      <c r="B1054" s="319"/>
      <c r="C1054" s="332"/>
      <c r="D1054" s="148"/>
      <c r="E1054" s="148"/>
      <c r="F1054" s="148"/>
      <c r="G1054" s="148">
        <v>3</v>
      </c>
      <c r="H1054" s="148">
        <v>7</v>
      </c>
      <c r="I1054" s="148"/>
      <c r="J1054" s="170">
        <f t="shared" si="52"/>
        <v>21</v>
      </c>
      <c r="K1054" s="10"/>
      <c r="L1054" s="10"/>
      <c r="M1054" s="10"/>
      <c r="N1054" s="10"/>
      <c r="O1054" s="10"/>
      <c r="P1054" s="10"/>
      <c r="Q1054" s="10"/>
      <c r="R1054" s="10"/>
      <c r="S1054" s="10"/>
      <c r="T1054" s="10"/>
      <c r="U1054" s="10"/>
      <c r="V1054" s="10"/>
      <c r="W1054" s="10"/>
      <c r="X1054" s="10"/>
      <c r="Y1054" s="10"/>
    </row>
    <row r="1055" spans="1:25" ht="16.5" customHeight="1" x14ac:dyDescent="0.2">
      <c r="A1055" s="318" t="s">
        <v>800</v>
      </c>
      <c r="B1055" s="319"/>
      <c r="C1055" s="332"/>
      <c r="D1055" s="148"/>
      <c r="E1055" s="148"/>
      <c r="F1055" s="148"/>
      <c r="G1055" s="148">
        <v>3</v>
      </c>
      <c r="H1055" s="148">
        <v>7</v>
      </c>
      <c r="I1055" s="148"/>
      <c r="J1055" s="170">
        <f t="shared" si="52"/>
        <v>21</v>
      </c>
      <c r="K1055" s="10"/>
      <c r="L1055" s="10"/>
      <c r="M1055" s="10"/>
      <c r="N1055" s="10"/>
      <c r="O1055" s="10"/>
      <c r="P1055" s="10"/>
      <c r="Q1055" s="10"/>
      <c r="R1055" s="10"/>
      <c r="S1055" s="10"/>
      <c r="T1055" s="10"/>
      <c r="U1055" s="10"/>
      <c r="V1055" s="10"/>
      <c r="W1055" s="10"/>
      <c r="X1055" s="10"/>
      <c r="Y1055" s="10"/>
    </row>
    <row r="1056" spans="1:25" ht="16.5" customHeight="1" x14ac:dyDescent="0.2">
      <c r="A1056" s="318" t="s">
        <v>801</v>
      </c>
      <c r="B1056" s="319"/>
      <c r="C1056" s="332"/>
      <c r="D1056" s="148"/>
      <c r="E1056" s="148"/>
      <c r="F1056" s="148"/>
      <c r="G1056" s="148">
        <v>3</v>
      </c>
      <c r="H1056" s="148">
        <v>7</v>
      </c>
      <c r="I1056" s="148"/>
      <c r="J1056" s="170">
        <f t="shared" si="52"/>
        <v>21</v>
      </c>
      <c r="K1056" s="10"/>
      <c r="L1056" s="10"/>
      <c r="M1056" s="10"/>
      <c r="N1056" s="10"/>
      <c r="O1056" s="10"/>
      <c r="P1056" s="10"/>
      <c r="Q1056" s="10"/>
      <c r="R1056" s="10"/>
      <c r="S1056" s="10"/>
      <c r="T1056" s="10"/>
      <c r="U1056" s="10"/>
      <c r="V1056" s="10"/>
      <c r="W1056" s="10"/>
      <c r="X1056" s="10"/>
      <c r="Y1056" s="10"/>
    </row>
    <row r="1057" spans="1:25" ht="16.5" customHeight="1" x14ac:dyDescent="0.2">
      <c r="A1057" s="318" t="s">
        <v>802</v>
      </c>
      <c r="B1057" s="319"/>
      <c r="C1057" s="332"/>
      <c r="D1057" s="148"/>
      <c r="E1057" s="148"/>
      <c r="F1057" s="148"/>
      <c r="G1057" s="148">
        <v>3</v>
      </c>
      <c r="H1057" s="148">
        <v>7</v>
      </c>
      <c r="I1057" s="148"/>
      <c r="J1057" s="170">
        <f t="shared" si="52"/>
        <v>21</v>
      </c>
      <c r="K1057" s="10"/>
      <c r="L1057" s="10"/>
      <c r="M1057" s="10"/>
      <c r="N1057" s="10"/>
      <c r="O1057" s="10"/>
      <c r="P1057" s="10"/>
      <c r="Q1057" s="10"/>
      <c r="R1057" s="10"/>
      <c r="S1057" s="10"/>
      <c r="T1057" s="10"/>
      <c r="U1057" s="10"/>
      <c r="V1057" s="10"/>
      <c r="W1057" s="10"/>
      <c r="X1057" s="10"/>
      <c r="Y1057" s="10"/>
    </row>
    <row r="1058" spans="1:25" ht="16.5" customHeight="1" x14ac:dyDescent="0.2">
      <c r="A1058" s="318" t="s">
        <v>803</v>
      </c>
      <c r="B1058" s="319"/>
      <c r="C1058" s="332"/>
      <c r="D1058" s="148"/>
      <c r="E1058" s="148"/>
      <c r="F1058" s="148"/>
      <c r="G1058" s="148">
        <v>3</v>
      </c>
      <c r="H1058" s="148">
        <v>7</v>
      </c>
      <c r="I1058" s="148"/>
      <c r="J1058" s="170">
        <f t="shared" si="52"/>
        <v>21</v>
      </c>
      <c r="K1058" s="10"/>
      <c r="L1058" s="10"/>
      <c r="M1058" s="10"/>
      <c r="N1058" s="10"/>
      <c r="O1058" s="10"/>
      <c r="P1058" s="10"/>
      <c r="Q1058" s="10"/>
      <c r="R1058" s="10"/>
      <c r="S1058" s="10"/>
      <c r="T1058" s="10"/>
      <c r="U1058" s="10"/>
      <c r="V1058" s="10"/>
      <c r="W1058" s="10"/>
      <c r="X1058" s="10"/>
      <c r="Y1058" s="10"/>
    </row>
    <row r="1059" spans="1:25" ht="16.5" customHeight="1" x14ac:dyDescent="0.2">
      <c r="A1059" s="318" t="s">
        <v>804</v>
      </c>
      <c r="B1059" s="319"/>
      <c r="C1059" s="332"/>
      <c r="D1059" s="148"/>
      <c r="E1059" s="148"/>
      <c r="F1059" s="148"/>
      <c r="G1059" s="148">
        <v>3</v>
      </c>
      <c r="H1059" s="148">
        <v>7</v>
      </c>
      <c r="I1059" s="148"/>
      <c r="J1059" s="170">
        <f t="shared" si="52"/>
        <v>21</v>
      </c>
      <c r="K1059" s="10"/>
      <c r="L1059" s="10"/>
      <c r="M1059" s="10"/>
      <c r="N1059" s="10"/>
      <c r="O1059" s="10"/>
      <c r="P1059" s="10"/>
      <c r="Q1059" s="10"/>
      <c r="R1059" s="10"/>
      <c r="S1059" s="10"/>
      <c r="T1059" s="10"/>
      <c r="U1059" s="10"/>
      <c r="V1059" s="10"/>
      <c r="W1059" s="10"/>
      <c r="X1059" s="10"/>
      <c r="Y1059" s="10"/>
    </row>
    <row r="1060" spans="1:25" ht="16.5" customHeight="1" x14ac:dyDescent="0.2">
      <c r="A1060" s="342" t="str">
        <f>"TOTAL - "&amp;'Planilha orçamentária'!F85</f>
        <v>TOTAL - UN</v>
      </c>
      <c r="B1060" s="342"/>
      <c r="C1060" s="342"/>
      <c r="D1060" s="342"/>
      <c r="E1060" s="342"/>
      <c r="F1060" s="342"/>
      <c r="G1060" s="342"/>
      <c r="H1060" s="342"/>
      <c r="I1060" s="342"/>
      <c r="J1060" s="149">
        <f>SUM(J1044:J1059)</f>
        <v>315</v>
      </c>
      <c r="K1060" s="10"/>
      <c r="L1060" s="10"/>
      <c r="M1060" s="10"/>
      <c r="N1060" s="10"/>
      <c r="O1060" s="10"/>
      <c r="P1060" s="10"/>
      <c r="Q1060" s="10"/>
      <c r="R1060" s="10"/>
      <c r="S1060" s="10"/>
      <c r="T1060" s="10"/>
      <c r="U1060" s="10"/>
      <c r="V1060" s="10"/>
      <c r="W1060" s="10"/>
      <c r="X1060" s="10"/>
      <c r="Y1060" s="10"/>
    </row>
    <row r="1061" spans="1:25" ht="16.5" customHeight="1" x14ac:dyDescent="0.2">
      <c r="A1061" s="184" t="str">
        <f>'Planilha orçamentária'!A86</f>
        <v>11.3</v>
      </c>
      <c r="B1061" s="343" t="str">
        <f>'Planilha orçamentária'!D86</f>
        <v>Porta em perfil e chapa metálica</v>
      </c>
      <c r="C1061" s="344"/>
      <c r="D1061" s="344"/>
      <c r="E1061" s="344"/>
      <c r="F1061" s="344"/>
      <c r="G1061" s="344"/>
      <c r="H1061" s="344"/>
      <c r="I1061" s="344"/>
      <c r="J1061" s="344"/>
      <c r="K1061" s="10"/>
      <c r="L1061" s="10"/>
      <c r="M1061" s="10"/>
      <c r="N1061" s="10"/>
      <c r="O1061" s="10"/>
      <c r="P1061" s="10"/>
      <c r="Q1061" s="10"/>
      <c r="R1061" s="10"/>
      <c r="S1061" s="10"/>
      <c r="T1061" s="10"/>
      <c r="U1061" s="10"/>
      <c r="V1061" s="10"/>
      <c r="W1061" s="10"/>
      <c r="X1061" s="10"/>
      <c r="Y1061" s="10"/>
    </row>
    <row r="1062" spans="1:25" ht="16.5" customHeight="1" x14ac:dyDescent="0.2">
      <c r="A1062" s="327" t="s">
        <v>120</v>
      </c>
      <c r="B1062" s="328"/>
      <c r="C1062" s="328"/>
      <c r="D1062" s="182" t="s">
        <v>121</v>
      </c>
      <c r="E1062" s="182" t="s">
        <v>122</v>
      </c>
      <c r="F1062" s="181" t="s">
        <v>123</v>
      </c>
      <c r="G1062" s="181" t="s">
        <v>124</v>
      </c>
      <c r="H1062" s="181" t="s">
        <v>125</v>
      </c>
      <c r="I1062" s="182" t="s">
        <v>126</v>
      </c>
      <c r="J1062" s="182" t="s">
        <v>113</v>
      </c>
      <c r="K1062" s="10"/>
      <c r="L1062" s="10"/>
      <c r="M1062" s="10"/>
      <c r="N1062" s="10"/>
      <c r="O1062" s="10"/>
      <c r="P1062" s="10"/>
      <c r="Q1062" s="10"/>
      <c r="R1062" s="10"/>
      <c r="S1062" s="10"/>
      <c r="T1062" s="10"/>
      <c r="U1062" s="10"/>
      <c r="V1062" s="10"/>
      <c r="W1062" s="10"/>
      <c r="X1062" s="10"/>
      <c r="Y1062" s="10"/>
    </row>
    <row r="1063" spans="1:25" ht="16.5" customHeight="1" x14ac:dyDescent="0.2">
      <c r="A1063" s="318" t="s">
        <v>309</v>
      </c>
      <c r="B1063" s="319"/>
      <c r="C1063" s="332"/>
      <c r="D1063" s="148">
        <v>1.1000000000000001</v>
      </c>
      <c r="E1063" s="148"/>
      <c r="F1063" s="148">
        <v>2.1</v>
      </c>
      <c r="G1063" s="148">
        <v>7</v>
      </c>
      <c r="H1063" s="148"/>
      <c r="I1063" s="148"/>
      <c r="J1063" s="170">
        <f t="shared" ref="J1063" si="53">PRODUCT(D1063:H1063)-I1063</f>
        <v>16.170000000000002</v>
      </c>
      <c r="K1063" s="10"/>
      <c r="L1063" s="10"/>
      <c r="M1063" s="10"/>
      <c r="N1063" s="10"/>
      <c r="O1063" s="10"/>
      <c r="P1063" s="10"/>
      <c r="Q1063" s="10"/>
      <c r="R1063" s="10"/>
      <c r="S1063" s="10"/>
      <c r="T1063" s="10"/>
      <c r="U1063" s="10"/>
      <c r="V1063" s="10"/>
      <c r="W1063" s="10"/>
      <c r="X1063" s="10"/>
      <c r="Y1063" s="10"/>
    </row>
    <row r="1064" spans="1:25" ht="16.5" customHeight="1" x14ac:dyDescent="0.2">
      <c r="A1064" s="342" t="str">
        <f>"TOTAL - "&amp;'Planilha orçamentária'!F86</f>
        <v>TOTAL - M2</v>
      </c>
      <c r="B1064" s="342"/>
      <c r="C1064" s="342"/>
      <c r="D1064" s="342"/>
      <c r="E1064" s="342"/>
      <c r="F1064" s="342"/>
      <c r="G1064" s="342"/>
      <c r="H1064" s="342"/>
      <c r="I1064" s="342"/>
      <c r="J1064" s="149">
        <f>SUM(J1063)</f>
        <v>16.170000000000002</v>
      </c>
      <c r="K1064" s="10"/>
      <c r="L1064" s="10"/>
      <c r="M1064" s="10"/>
      <c r="N1064" s="10"/>
      <c r="O1064" s="10"/>
      <c r="P1064" s="10"/>
      <c r="Q1064" s="10"/>
      <c r="R1064" s="10"/>
      <c r="S1064" s="10"/>
      <c r="T1064" s="10"/>
      <c r="U1064" s="10"/>
      <c r="V1064" s="10"/>
      <c r="W1064" s="10"/>
      <c r="X1064" s="10"/>
      <c r="Y1064" s="10"/>
    </row>
    <row r="1065" spans="1:25" ht="16.5" customHeight="1" x14ac:dyDescent="0.2">
      <c r="A1065" s="184" t="str">
        <f>'Planilha orçamentária'!A87</f>
        <v>11.4</v>
      </c>
      <c r="B1065" s="343" t="str">
        <f>'Planilha orçamentária'!D87</f>
        <v>Fornecimento e assentamento de janela de correr em ferro</v>
      </c>
      <c r="C1065" s="344"/>
      <c r="D1065" s="344"/>
      <c r="E1065" s="344"/>
      <c r="F1065" s="344"/>
      <c r="G1065" s="344"/>
      <c r="H1065" s="344"/>
      <c r="I1065" s="344"/>
      <c r="J1065" s="344"/>
      <c r="K1065" s="10"/>
      <c r="L1065" s="10"/>
      <c r="M1065" s="10"/>
      <c r="N1065" s="10"/>
      <c r="O1065" s="10"/>
      <c r="P1065" s="10"/>
      <c r="Q1065" s="10"/>
      <c r="R1065" s="10"/>
      <c r="S1065" s="10"/>
      <c r="T1065" s="10"/>
      <c r="U1065" s="10"/>
      <c r="V1065" s="10"/>
      <c r="W1065" s="10"/>
      <c r="X1065" s="10"/>
      <c r="Y1065" s="10"/>
    </row>
    <row r="1066" spans="1:25" ht="25.5" customHeight="1" x14ac:dyDescent="0.2">
      <c r="A1066" s="327" t="s">
        <v>120</v>
      </c>
      <c r="B1066" s="328"/>
      <c r="C1066" s="328"/>
      <c r="D1066" s="182" t="s">
        <v>121</v>
      </c>
      <c r="E1066" s="182" t="s">
        <v>122</v>
      </c>
      <c r="F1066" s="181" t="s">
        <v>123</v>
      </c>
      <c r="G1066" s="181" t="s">
        <v>124</v>
      </c>
      <c r="H1066" s="181" t="s">
        <v>489</v>
      </c>
      <c r="I1066" s="182" t="s">
        <v>125</v>
      </c>
      <c r="J1066" s="182" t="s">
        <v>113</v>
      </c>
      <c r="K1066" s="10"/>
      <c r="L1066" s="10"/>
      <c r="M1066" s="10"/>
      <c r="N1066" s="10"/>
      <c r="O1066" s="10"/>
      <c r="P1066" s="10"/>
      <c r="Q1066" s="10"/>
      <c r="R1066" s="10"/>
      <c r="S1066" s="10"/>
      <c r="T1066" s="10"/>
      <c r="U1066" s="10"/>
      <c r="V1066" s="10"/>
      <c r="W1066" s="10"/>
      <c r="X1066" s="10"/>
      <c r="Y1066" s="10"/>
    </row>
    <row r="1067" spans="1:25" ht="16.5" customHeight="1" x14ac:dyDescent="0.2">
      <c r="A1067" s="409" t="s">
        <v>671</v>
      </c>
      <c r="B1067" s="410"/>
      <c r="C1067" s="416"/>
      <c r="D1067" s="148">
        <v>1.2</v>
      </c>
      <c r="E1067" s="148"/>
      <c r="F1067" s="148">
        <v>1.2</v>
      </c>
      <c r="G1067" s="148">
        <v>3</v>
      </c>
      <c r="H1067" s="148">
        <v>7</v>
      </c>
      <c r="I1067" s="148"/>
      <c r="J1067" s="170">
        <f t="shared" ref="J1067:J1098" si="54">PRODUCT(D1067:H1067)-I1067</f>
        <v>30.240000000000002</v>
      </c>
      <c r="K1067" s="10"/>
      <c r="L1067" s="10"/>
      <c r="M1067" s="10"/>
      <c r="N1067" s="10"/>
      <c r="O1067" s="10"/>
      <c r="P1067" s="10"/>
      <c r="Q1067" s="10"/>
      <c r="R1067" s="10"/>
      <c r="S1067" s="10"/>
      <c r="T1067" s="10"/>
      <c r="U1067" s="10"/>
      <c r="V1067" s="10"/>
      <c r="W1067" s="10"/>
      <c r="X1067" s="10"/>
      <c r="Y1067" s="10"/>
    </row>
    <row r="1068" spans="1:25" ht="16.5" customHeight="1" x14ac:dyDescent="0.2">
      <c r="A1068" s="413"/>
      <c r="B1068" s="417"/>
      <c r="C1068" s="414"/>
      <c r="D1068" s="148">
        <v>1.8</v>
      </c>
      <c r="E1068" s="148"/>
      <c r="F1068" s="148">
        <v>1.2</v>
      </c>
      <c r="G1068" s="148">
        <v>1</v>
      </c>
      <c r="H1068" s="148">
        <v>7</v>
      </c>
      <c r="I1068" s="148"/>
      <c r="J1068" s="170">
        <f t="shared" si="54"/>
        <v>15.120000000000001</v>
      </c>
      <c r="K1068" s="10"/>
      <c r="L1068" s="10"/>
      <c r="M1068" s="10"/>
      <c r="N1068" s="10"/>
      <c r="O1068" s="10"/>
      <c r="P1068" s="10"/>
      <c r="Q1068" s="10"/>
      <c r="R1068" s="10"/>
      <c r="S1068" s="10"/>
      <c r="T1068" s="10"/>
      <c r="U1068" s="10"/>
      <c r="V1068" s="10"/>
      <c r="W1068" s="10"/>
      <c r="X1068" s="10"/>
      <c r="Y1068" s="10"/>
    </row>
    <row r="1069" spans="1:25" ht="16.5" customHeight="1" x14ac:dyDescent="0.2">
      <c r="A1069" s="409" t="s">
        <v>672</v>
      </c>
      <c r="B1069" s="410"/>
      <c r="C1069" s="416"/>
      <c r="D1069" s="148">
        <v>1.2</v>
      </c>
      <c r="E1069" s="148"/>
      <c r="F1069" s="148">
        <v>1.2</v>
      </c>
      <c r="G1069" s="148">
        <v>3</v>
      </c>
      <c r="H1069" s="148">
        <v>7</v>
      </c>
      <c r="I1069" s="148"/>
      <c r="J1069" s="170">
        <f t="shared" si="54"/>
        <v>30.240000000000002</v>
      </c>
      <c r="K1069" s="10"/>
      <c r="L1069" s="10"/>
      <c r="M1069" s="10"/>
      <c r="N1069" s="10"/>
      <c r="O1069" s="10"/>
      <c r="P1069" s="10"/>
      <c r="Q1069" s="10"/>
      <c r="R1069" s="10"/>
      <c r="S1069" s="10"/>
      <c r="T1069" s="10"/>
      <c r="U1069" s="10"/>
      <c r="V1069" s="10"/>
      <c r="W1069" s="10"/>
      <c r="X1069" s="10"/>
      <c r="Y1069" s="10"/>
    </row>
    <row r="1070" spans="1:25" ht="16.5" customHeight="1" x14ac:dyDescent="0.2">
      <c r="A1070" s="413"/>
      <c r="B1070" s="417"/>
      <c r="C1070" s="414"/>
      <c r="D1070" s="148">
        <v>1.8</v>
      </c>
      <c r="E1070" s="148"/>
      <c r="F1070" s="148">
        <v>1.2</v>
      </c>
      <c r="G1070" s="148">
        <v>1</v>
      </c>
      <c r="H1070" s="148">
        <v>7</v>
      </c>
      <c r="I1070" s="148"/>
      <c r="J1070" s="170">
        <f t="shared" si="54"/>
        <v>15.120000000000001</v>
      </c>
      <c r="K1070" s="10"/>
      <c r="L1070" s="10"/>
      <c r="M1070" s="10"/>
      <c r="N1070" s="10"/>
      <c r="O1070" s="10"/>
      <c r="P1070" s="10"/>
      <c r="Q1070" s="10"/>
      <c r="R1070" s="10"/>
      <c r="S1070" s="10"/>
      <c r="T1070" s="10"/>
      <c r="U1070" s="10"/>
      <c r="V1070" s="10"/>
      <c r="W1070" s="10"/>
      <c r="X1070" s="10"/>
      <c r="Y1070" s="10"/>
    </row>
    <row r="1071" spans="1:25" ht="16.5" customHeight="1" x14ac:dyDescent="0.2">
      <c r="A1071" s="409" t="s">
        <v>673</v>
      </c>
      <c r="B1071" s="410"/>
      <c r="C1071" s="416"/>
      <c r="D1071" s="148">
        <v>1.2</v>
      </c>
      <c r="E1071" s="148"/>
      <c r="F1071" s="148">
        <v>1.2</v>
      </c>
      <c r="G1071" s="148">
        <v>3</v>
      </c>
      <c r="H1071" s="148">
        <v>7</v>
      </c>
      <c r="I1071" s="148"/>
      <c r="J1071" s="170">
        <f t="shared" si="54"/>
        <v>30.240000000000002</v>
      </c>
      <c r="K1071" s="10"/>
      <c r="L1071" s="10"/>
      <c r="M1071" s="10"/>
      <c r="N1071" s="10"/>
      <c r="O1071" s="10"/>
      <c r="P1071" s="10"/>
      <c r="Q1071" s="10"/>
      <c r="R1071" s="10"/>
      <c r="S1071" s="10"/>
      <c r="T1071" s="10"/>
      <c r="U1071" s="10"/>
      <c r="V1071" s="10"/>
      <c r="W1071" s="10"/>
      <c r="X1071" s="10"/>
      <c r="Y1071" s="10"/>
    </row>
    <row r="1072" spans="1:25" ht="16.5" customHeight="1" x14ac:dyDescent="0.2">
      <c r="A1072" s="413"/>
      <c r="B1072" s="417"/>
      <c r="C1072" s="414"/>
      <c r="D1072" s="148">
        <v>1.8</v>
      </c>
      <c r="E1072" s="148"/>
      <c r="F1072" s="148">
        <v>1.2</v>
      </c>
      <c r="G1072" s="148">
        <v>1</v>
      </c>
      <c r="H1072" s="148">
        <v>7</v>
      </c>
      <c r="I1072" s="148"/>
      <c r="J1072" s="170">
        <f t="shared" si="54"/>
        <v>15.120000000000001</v>
      </c>
      <c r="K1072" s="10"/>
      <c r="L1072" s="10"/>
      <c r="M1072" s="10"/>
      <c r="N1072" s="10"/>
      <c r="O1072" s="10"/>
      <c r="P1072" s="10"/>
      <c r="Q1072" s="10"/>
      <c r="R1072" s="10"/>
      <c r="S1072" s="10"/>
      <c r="T1072" s="10"/>
      <c r="U1072" s="10"/>
      <c r="V1072" s="10"/>
      <c r="W1072" s="10"/>
      <c r="X1072" s="10"/>
      <c r="Y1072" s="10"/>
    </row>
    <row r="1073" spans="1:25" ht="16.5" customHeight="1" x14ac:dyDescent="0.2">
      <c r="A1073" s="409" t="s">
        <v>674</v>
      </c>
      <c r="B1073" s="410"/>
      <c r="C1073" s="416"/>
      <c r="D1073" s="148">
        <v>1.2</v>
      </c>
      <c r="E1073" s="148"/>
      <c r="F1073" s="148">
        <v>1.2</v>
      </c>
      <c r="G1073" s="148">
        <v>3</v>
      </c>
      <c r="H1073" s="148">
        <v>7</v>
      </c>
      <c r="I1073" s="148"/>
      <c r="J1073" s="170">
        <f t="shared" si="54"/>
        <v>30.240000000000002</v>
      </c>
      <c r="K1073" s="10"/>
      <c r="L1073" s="10"/>
      <c r="M1073" s="10"/>
      <c r="N1073" s="10"/>
      <c r="O1073" s="10"/>
      <c r="P1073" s="10"/>
      <c r="Q1073" s="10"/>
      <c r="R1073" s="10"/>
      <c r="S1073" s="10"/>
      <c r="T1073" s="10"/>
      <c r="U1073" s="10"/>
      <c r="V1073" s="10"/>
      <c r="W1073" s="10"/>
      <c r="X1073" s="10"/>
      <c r="Y1073" s="10"/>
    </row>
    <row r="1074" spans="1:25" ht="16.5" customHeight="1" x14ac:dyDescent="0.2">
      <c r="A1074" s="413"/>
      <c r="B1074" s="417"/>
      <c r="C1074" s="414"/>
      <c r="D1074" s="148">
        <v>1.8</v>
      </c>
      <c r="E1074" s="148"/>
      <c r="F1074" s="148">
        <v>1.2</v>
      </c>
      <c r="G1074" s="148">
        <v>1</v>
      </c>
      <c r="H1074" s="148">
        <v>7</v>
      </c>
      <c r="I1074" s="148"/>
      <c r="J1074" s="170">
        <f t="shared" si="54"/>
        <v>15.120000000000001</v>
      </c>
      <c r="K1074" s="10"/>
      <c r="L1074" s="10"/>
      <c r="M1074" s="10"/>
      <c r="N1074" s="10"/>
      <c r="O1074" s="10"/>
      <c r="P1074" s="10"/>
      <c r="Q1074" s="10"/>
      <c r="R1074" s="10"/>
      <c r="S1074" s="10"/>
      <c r="T1074" s="10"/>
      <c r="U1074" s="10"/>
      <c r="V1074" s="10"/>
      <c r="W1074" s="10"/>
      <c r="X1074" s="10"/>
      <c r="Y1074" s="10"/>
    </row>
    <row r="1075" spans="1:25" ht="16.5" customHeight="1" x14ac:dyDescent="0.2">
      <c r="A1075" s="409" t="s">
        <v>675</v>
      </c>
      <c r="B1075" s="410"/>
      <c r="C1075" s="416"/>
      <c r="D1075" s="148">
        <v>1.2</v>
      </c>
      <c r="E1075" s="148"/>
      <c r="F1075" s="148">
        <v>1.2</v>
      </c>
      <c r="G1075" s="148">
        <v>3</v>
      </c>
      <c r="H1075" s="148">
        <v>7</v>
      </c>
      <c r="I1075" s="148"/>
      <c r="J1075" s="170">
        <f t="shared" si="54"/>
        <v>30.240000000000002</v>
      </c>
      <c r="K1075" s="10"/>
      <c r="L1075" s="10"/>
      <c r="M1075" s="10"/>
      <c r="N1075" s="10"/>
      <c r="O1075" s="10"/>
      <c r="P1075" s="10"/>
      <c r="Q1075" s="10"/>
      <c r="R1075" s="10"/>
      <c r="S1075" s="10"/>
      <c r="T1075" s="10"/>
      <c r="U1075" s="10"/>
      <c r="V1075" s="10"/>
      <c r="W1075" s="10"/>
      <c r="X1075" s="10"/>
      <c r="Y1075" s="10"/>
    </row>
    <row r="1076" spans="1:25" ht="16.5" customHeight="1" x14ac:dyDescent="0.2">
      <c r="A1076" s="413"/>
      <c r="B1076" s="417"/>
      <c r="C1076" s="414"/>
      <c r="D1076" s="148">
        <v>1.8</v>
      </c>
      <c r="E1076" s="148"/>
      <c r="F1076" s="148">
        <v>1.2</v>
      </c>
      <c r="G1076" s="148">
        <v>1</v>
      </c>
      <c r="H1076" s="148">
        <v>7</v>
      </c>
      <c r="I1076" s="148"/>
      <c r="J1076" s="170">
        <f t="shared" si="54"/>
        <v>15.120000000000001</v>
      </c>
      <c r="K1076" s="10"/>
      <c r="L1076" s="10"/>
      <c r="M1076" s="10"/>
      <c r="N1076" s="10"/>
      <c r="O1076" s="10"/>
      <c r="P1076" s="10"/>
      <c r="Q1076" s="10"/>
      <c r="R1076" s="10"/>
      <c r="S1076" s="10"/>
      <c r="T1076" s="10"/>
      <c r="U1076" s="10"/>
      <c r="V1076" s="10"/>
      <c r="W1076" s="10"/>
      <c r="X1076" s="10"/>
      <c r="Y1076" s="10"/>
    </row>
    <row r="1077" spans="1:25" ht="16.5" customHeight="1" x14ac:dyDescent="0.2">
      <c r="A1077" s="409" t="s">
        <v>676</v>
      </c>
      <c r="B1077" s="410"/>
      <c r="C1077" s="416"/>
      <c r="D1077" s="148">
        <v>1.2</v>
      </c>
      <c r="E1077" s="148"/>
      <c r="F1077" s="148">
        <v>1.2</v>
      </c>
      <c r="G1077" s="148">
        <v>3</v>
      </c>
      <c r="H1077" s="148">
        <v>7</v>
      </c>
      <c r="I1077" s="148"/>
      <c r="J1077" s="170">
        <f t="shared" si="54"/>
        <v>30.240000000000002</v>
      </c>
      <c r="K1077" s="10"/>
      <c r="L1077" s="10"/>
      <c r="M1077" s="10"/>
      <c r="N1077" s="10"/>
      <c r="O1077" s="10"/>
      <c r="P1077" s="10"/>
      <c r="Q1077" s="10"/>
      <c r="R1077" s="10"/>
      <c r="S1077" s="10"/>
      <c r="T1077" s="10"/>
      <c r="U1077" s="10"/>
      <c r="V1077" s="10"/>
      <c r="W1077" s="10"/>
      <c r="X1077" s="10"/>
      <c r="Y1077" s="10"/>
    </row>
    <row r="1078" spans="1:25" ht="16.5" customHeight="1" x14ac:dyDescent="0.2">
      <c r="A1078" s="413"/>
      <c r="B1078" s="417"/>
      <c r="C1078" s="414"/>
      <c r="D1078" s="148">
        <v>1.8</v>
      </c>
      <c r="E1078" s="148"/>
      <c r="F1078" s="148">
        <v>1.2</v>
      </c>
      <c r="G1078" s="148">
        <v>1</v>
      </c>
      <c r="H1078" s="148">
        <v>7</v>
      </c>
      <c r="I1078" s="148"/>
      <c r="J1078" s="170">
        <f t="shared" si="54"/>
        <v>15.120000000000001</v>
      </c>
      <c r="K1078" s="10"/>
      <c r="L1078" s="10"/>
      <c r="M1078" s="10"/>
      <c r="N1078" s="10"/>
      <c r="O1078" s="10"/>
      <c r="P1078" s="10"/>
      <c r="Q1078" s="10"/>
      <c r="R1078" s="10"/>
      <c r="S1078" s="10"/>
      <c r="T1078" s="10"/>
      <c r="U1078" s="10"/>
      <c r="V1078" s="10"/>
      <c r="W1078" s="10"/>
      <c r="X1078" s="10"/>
      <c r="Y1078" s="10"/>
    </row>
    <row r="1079" spans="1:25" ht="16.5" customHeight="1" x14ac:dyDescent="0.2">
      <c r="A1079" s="409" t="s">
        <v>677</v>
      </c>
      <c r="B1079" s="410"/>
      <c r="C1079" s="416"/>
      <c r="D1079" s="148">
        <v>1.2</v>
      </c>
      <c r="E1079" s="148"/>
      <c r="F1079" s="148">
        <v>1.2</v>
      </c>
      <c r="G1079" s="148">
        <v>3</v>
      </c>
      <c r="H1079" s="148">
        <v>7</v>
      </c>
      <c r="I1079" s="148"/>
      <c r="J1079" s="170">
        <f t="shared" si="54"/>
        <v>30.240000000000002</v>
      </c>
      <c r="K1079" s="10"/>
      <c r="L1079" s="10"/>
      <c r="M1079" s="10"/>
      <c r="N1079" s="10"/>
      <c r="O1079" s="10"/>
      <c r="P1079" s="10"/>
      <c r="Q1079" s="10"/>
      <c r="R1079" s="10"/>
      <c r="S1079" s="10"/>
      <c r="T1079" s="10"/>
      <c r="U1079" s="10"/>
      <c r="V1079" s="10"/>
      <c r="W1079" s="10"/>
      <c r="X1079" s="10"/>
      <c r="Y1079" s="10"/>
    </row>
    <row r="1080" spans="1:25" ht="16.5" customHeight="1" x14ac:dyDescent="0.2">
      <c r="A1080" s="413"/>
      <c r="B1080" s="417"/>
      <c r="C1080" s="414"/>
      <c r="D1080" s="148">
        <v>1.8</v>
      </c>
      <c r="E1080" s="148"/>
      <c r="F1080" s="148">
        <v>1.2</v>
      </c>
      <c r="G1080" s="148">
        <v>1</v>
      </c>
      <c r="H1080" s="148">
        <v>7</v>
      </c>
      <c r="I1080" s="148"/>
      <c r="J1080" s="170">
        <f t="shared" si="54"/>
        <v>15.120000000000001</v>
      </c>
      <c r="K1080" s="10"/>
      <c r="L1080" s="10"/>
      <c r="M1080" s="10"/>
      <c r="N1080" s="10"/>
      <c r="O1080" s="10"/>
      <c r="P1080" s="10"/>
      <c r="Q1080" s="10"/>
      <c r="R1080" s="10"/>
      <c r="S1080" s="10"/>
      <c r="T1080" s="10"/>
      <c r="U1080" s="10"/>
      <c r="V1080" s="10"/>
      <c r="W1080" s="10"/>
      <c r="X1080" s="10"/>
      <c r="Y1080" s="10"/>
    </row>
    <row r="1081" spans="1:25" ht="16.5" customHeight="1" x14ac:dyDescent="0.2">
      <c r="A1081" s="409" t="s">
        <v>678</v>
      </c>
      <c r="B1081" s="410"/>
      <c r="C1081" s="416"/>
      <c r="D1081" s="148">
        <v>1.2</v>
      </c>
      <c r="E1081" s="148"/>
      <c r="F1081" s="148">
        <v>1.2</v>
      </c>
      <c r="G1081" s="148">
        <v>3</v>
      </c>
      <c r="H1081" s="148">
        <v>7</v>
      </c>
      <c r="I1081" s="148"/>
      <c r="J1081" s="170">
        <f t="shared" si="54"/>
        <v>30.240000000000002</v>
      </c>
      <c r="K1081" s="10"/>
      <c r="L1081" s="10"/>
      <c r="M1081" s="10"/>
      <c r="N1081" s="10"/>
      <c r="O1081" s="10"/>
      <c r="P1081" s="10"/>
      <c r="Q1081" s="10"/>
      <c r="R1081" s="10"/>
      <c r="S1081" s="10"/>
      <c r="T1081" s="10"/>
      <c r="U1081" s="10"/>
      <c r="V1081" s="10"/>
      <c r="W1081" s="10"/>
      <c r="X1081" s="10"/>
      <c r="Y1081" s="10"/>
    </row>
    <row r="1082" spans="1:25" ht="16.5" customHeight="1" x14ac:dyDescent="0.2">
      <c r="A1082" s="413"/>
      <c r="B1082" s="417"/>
      <c r="C1082" s="414"/>
      <c r="D1082" s="148">
        <v>1.8</v>
      </c>
      <c r="E1082" s="148"/>
      <c r="F1082" s="148">
        <v>1.2</v>
      </c>
      <c r="G1082" s="148">
        <v>1</v>
      </c>
      <c r="H1082" s="148">
        <v>7</v>
      </c>
      <c r="I1082" s="148"/>
      <c r="J1082" s="170">
        <f t="shared" si="54"/>
        <v>15.120000000000001</v>
      </c>
      <c r="K1082" s="10"/>
      <c r="L1082" s="10"/>
      <c r="M1082" s="10"/>
      <c r="N1082" s="10"/>
      <c r="O1082" s="10"/>
      <c r="P1082" s="10"/>
      <c r="Q1082" s="10"/>
      <c r="R1082" s="10"/>
      <c r="S1082" s="10"/>
      <c r="T1082" s="10"/>
      <c r="U1082" s="10"/>
      <c r="V1082" s="10"/>
      <c r="W1082" s="10"/>
      <c r="X1082" s="10"/>
      <c r="Y1082" s="10"/>
    </row>
    <row r="1083" spans="1:25" ht="16.5" customHeight="1" x14ac:dyDescent="0.2">
      <c r="A1083" s="409" t="s">
        <v>679</v>
      </c>
      <c r="B1083" s="410"/>
      <c r="C1083" s="416"/>
      <c r="D1083" s="148">
        <v>1.2</v>
      </c>
      <c r="E1083" s="148"/>
      <c r="F1083" s="148">
        <v>1.2</v>
      </c>
      <c r="G1083" s="148">
        <v>3</v>
      </c>
      <c r="H1083" s="148">
        <v>7</v>
      </c>
      <c r="I1083" s="148"/>
      <c r="J1083" s="170">
        <f t="shared" si="54"/>
        <v>30.240000000000002</v>
      </c>
      <c r="K1083" s="10"/>
      <c r="L1083" s="10"/>
      <c r="M1083" s="10"/>
      <c r="N1083" s="10"/>
      <c r="O1083" s="10"/>
      <c r="P1083" s="10"/>
      <c r="Q1083" s="10"/>
      <c r="R1083" s="10"/>
      <c r="S1083" s="10"/>
      <c r="T1083" s="10"/>
      <c r="U1083" s="10"/>
      <c r="V1083" s="10"/>
      <c r="W1083" s="10"/>
      <c r="X1083" s="10"/>
      <c r="Y1083" s="10"/>
    </row>
    <row r="1084" spans="1:25" ht="16.5" customHeight="1" x14ac:dyDescent="0.2">
      <c r="A1084" s="413"/>
      <c r="B1084" s="417"/>
      <c r="C1084" s="414"/>
      <c r="D1084" s="148">
        <v>1.8</v>
      </c>
      <c r="E1084" s="148"/>
      <c r="F1084" s="148">
        <v>1.2</v>
      </c>
      <c r="G1084" s="148">
        <v>1</v>
      </c>
      <c r="H1084" s="148">
        <v>7</v>
      </c>
      <c r="I1084" s="148"/>
      <c r="J1084" s="170">
        <f t="shared" si="54"/>
        <v>15.120000000000001</v>
      </c>
      <c r="K1084" s="10"/>
      <c r="L1084" s="10"/>
      <c r="M1084" s="10"/>
      <c r="N1084" s="10"/>
      <c r="O1084" s="10"/>
      <c r="P1084" s="10"/>
      <c r="Q1084" s="10"/>
      <c r="R1084" s="10"/>
      <c r="S1084" s="10"/>
      <c r="T1084" s="10"/>
      <c r="U1084" s="10"/>
      <c r="V1084" s="10"/>
      <c r="W1084" s="10"/>
      <c r="X1084" s="10"/>
      <c r="Y1084" s="10"/>
    </row>
    <row r="1085" spans="1:25" ht="16.5" customHeight="1" x14ac:dyDescent="0.2">
      <c r="A1085" s="409" t="s">
        <v>769</v>
      </c>
      <c r="B1085" s="410"/>
      <c r="C1085" s="416"/>
      <c r="D1085" s="148">
        <v>1.2</v>
      </c>
      <c r="E1085" s="148"/>
      <c r="F1085" s="148">
        <v>1.2</v>
      </c>
      <c r="G1085" s="148">
        <v>3</v>
      </c>
      <c r="H1085" s="148">
        <v>7</v>
      </c>
      <c r="I1085" s="148"/>
      <c r="J1085" s="170">
        <f t="shared" si="54"/>
        <v>30.240000000000002</v>
      </c>
      <c r="K1085" s="10"/>
      <c r="L1085" s="10"/>
      <c r="M1085" s="10"/>
      <c r="N1085" s="10"/>
      <c r="O1085" s="10"/>
      <c r="P1085" s="10"/>
      <c r="Q1085" s="10"/>
      <c r="R1085" s="10"/>
      <c r="S1085" s="10"/>
      <c r="T1085" s="10"/>
      <c r="U1085" s="10"/>
      <c r="V1085" s="10"/>
      <c r="W1085" s="10"/>
      <c r="X1085" s="10"/>
      <c r="Y1085" s="10"/>
    </row>
    <row r="1086" spans="1:25" ht="16.5" customHeight="1" x14ac:dyDescent="0.2">
      <c r="A1086" s="413"/>
      <c r="B1086" s="417"/>
      <c r="C1086" s="414"/>
      <c r="D1086" s="148">
        <v>1.8</v>
      </c>
      <c r="E1086" s="148"/>
      <c r="F1086" s="148">
        <v>1.2</v>
      </c>
      <c r="G1086" s="148">
        <v>1</v>
      </c>
      <c r="H1086" s="148">
        <v>7</v>
      </c>
      <c r="I1086" s="148"/>
      <c r="J1086" s="170">
        <f t="shared" si="54"/>
        <v>15.120000000000001</v>
      </c>
      <c r="K1086" s="10"/>
      <c r="L1086" s="10"/>
      <c r="M1086" s="10"/>
      <c r="N1086" s="10"/>
      <c r="O1086" s="10"/>
      <c r="P1086" s="10"/>
      <c r="Q1086" s="10"/>
      <c r="R1086" s="10"/>
      <c r="S1086" s="10"/>
      <c r="T1086" s="10"/>
      <c r="U1086" s="10"/>
      <c r="V1086" s="10"/>
      <c r="W1086" s="10"/>
      <c r="X1086" s="10"/>
      <c r="Y1086" s="10"/>
    </row>
    <row r="1087" spans="1:25" ht="16.5" customHeight="1" x14ac:dyDescent="0.2">
      <c r="A1087" s="409" t="s">
        <v>681</v>
      </c>
      <c r="B1087" s="410"/>
      <c r="C1087" s="416"/>
      <c r="D1087" s="148">
        <v>1.2</v>
      </c>
      <c r="E1087" s="148"/>
      <c r="F1087" s="148">
        <v>1.2</v>
      </c>
      <c r="G1087" s="148">
        <v>3</v>
      </c>
      <c r="H1087" s="148">
        <v>7</v>
      </c>
      <c r="I1087" s="148"/>
      <c r="J1087" s="170">
        <f t="shared" si="54"/>
        <v>30.240000000000002</v>
      </c>
      <c r="K1087" s="10"/>
      <c r="L1087" s="10"/>
      <c r="M1087" s="10"/>
      <c r="N1087" s="10"/>
      <c r="O1087" s="10"/>
      <c r="P1087" s="10"/>
      <c r="Q1087" s="10"/>
      <c r="R1087" s="10"/>
      <c r="S1087" s="10"/>
      <c r="T1087" s="10"/>
      <c r="U1087" s="10"/>
      <c r="V1087" s="10"/>
      <c r="W1087" s="10"/>
      <c r="X1087" s="10"/>
      <c r="Y1087" s="10"/>
    </row>
    <row r="1088" spans="1:25" ht="16.5" customHeight="1" x14ac:dyDescent="0.2">
      <c r="A1088" s="413"/>
      <c r="B1088" s="417"/>
      <c r="C1088" s="414"/>
      <c r="D1088" s="148">
        <v>1.8</v>
      </c>
      <c r="E1088" s="148"/>
      <c r="F1088" s="148">
        <v>1.2</v>
      </c>
      <c r="G1088" s="148">
        <v>1</v>
      </c>
      <c r="H1088" s="148">
        <v>7</v>
      </c>
      <c r="I1088" s="148"/>
      <c r="J1088" s="170">
        <f t="shared" si="54"/>
        <v>15.120000000000001</v>
      </c>
      <c r="K1088" s="10"/>
      <c r="L1088" s="10"/>
      <c r="M1088" s="10"/>
      <c r="N1088" s="10"/>
      <c r="O1088" s="10"/>
      <c r="P1088" s="10"/>
      <c r="Q1088" s="10"/>
      <c r="R1088" s="10"/>
      <c r="S1088" s="10"/>
      <c r="T1088" s="10"/>
      <c r="U1088" s="10"/>
      <c r="V1088" s="10"/>
      <c r="W1088" s="10"/>
      <c r="X1088" s="10"/>
      <c r="Y1088" s="10"/>
    </row>
    <row r="1089" spans="1:25" ht="16.5" customHeight="1" x14ac:dyDescent="0.2">
      <c r="A1089" s="409" t="s">
        <v>682</v>
      </c>
      <c r="B1089" s="410"/>
      <c r="C1089" s="416"/>
      <c r="D1089" s="148">
        <v>1.2</v>
      </c>
      <c r="E1089" s="148"/>
      <c r="F1089" s="148">
        <v>1.2</v>
      </c>
      <c r="G1089" s="148">
        <v>3</v>
      </c>
      <c r="H1089" s="148">
        <v>7</v>
      </c>
      <c r="I1089" s="148"/>
      <c r="J1089" s="170">
        <f t="shared" si="54"/>
        <v>30.240000000000002</v>
      </c>
      <c r="K1089" s="10"/>
      <c r="L1089" s="10"/>
      <c r="M1089" s="10"/>
      <c r="N1089" s="10"/>
      <c r="O1089" s="10"/>
      <c r="P1089" s="10"/>
      <c r="Q1089" s="10"/>
      <c r="R1089" s="10"/>
      <c r="S1089" s="10"/>
      <c r="T1089" s="10"/>
      <c r="U1089" s="10"/>
      <c r="V1089" s="10"/>
      <c r="W1089" s="10"/>
      <c r="X1089" s="10"/>
      <c r="Y1089" s="10"/>
    </row>
    <row r="1090" spans="1:25" ht="16.5" customHeight="1" x14ac:dyDescent="0.2">
      <c r="A1090" s="411"/>
      <c r="B1090" s="412"/>
      <c r="C1090" s="415"/>
      <c r="D1090" s="148">
        <v>1.8</v>
      </c>
      <c r="E1090" s="148"/>
      <c r="F1090" s="148">
        <v>1.2</v>
      </c>
      <c r="G1090" s="148">
        <v>1</v>
      </c>
      <c r="H1090" s="148">
        <v>7</v>
      </c>
      <c r="I1090" s="148"/>
      <c r="J1090" s="170">
        <f t="shared" si="54"/>
        <v>15.120000000000001</v>
      </c>
      <c r="K1090" s="10"/>
      <c r="L1090" s="10"/>
      <c r="M1090" s="10"/>
      <c r="N1090" s="10"/>
      <c r="O1090" s="10"/>
      <c r="P1090" s="10"/>
      <c r="Q1090" s="10"/>
      <c r="R1090" s="10"/>
      <c r="S1090" s="10"/>
      <c r="T1090" s="10"/>
      <c r="U1090" s="10"/>
      <c r="V1090" s="10"/>
      <c r="W1090" s="10"/>
      <c r="X1090" s="10"/>
      <c r="Y1090" s="10"/>
    </row>
    <row r="1091" spans="1:25" ht="16.5" customHeight="1" x14ac:dyDescent="0.2">
      <c r="A1091" s="409" t="s">
        <v>683</v>
      </c>
      <c r="B1091" s="410"/>
      <c r="C1091" s="416"/>
      <c r="D1091" s="148">
        <v>1.2</v>
      </c>
      <c r="E1091" s="148"/>
      <c r="F1091" s="148">
        <v>1.2</v>
      </c>
      <c r="G1091" s="148">
        <v>3</v>
      </c>
      <c r="H1091" s="148">
        <v>7</v>
      </c>
      <c r="I1091" s="148"/>
      <c r="J1091" s="170">
        <f t="shared" si="54"/>
        <v>30.240000000000002</v>
      </c>
      <c r="K1091" s="10"/>
      <c r="L1091" s="10"/>
      <c r="M1091" s="10"/>
      <c r="N1091" s="10"/>
      <c r="O1091" s="10"/>
      <c r="P1091" s="10"/>
      <c r="Q1091" s="10"/>
      <c r="R1091" s="10"/>
      <c r="S1091" s="10"/>
      <c r="T1091" s="10"/>
      <c r="U1091" s="10"/>
      <c r="V1091" s="10"/>
      <c r="W1091" s="10"/>
      <c r="X1091" s="10"/>
      <c r="Y1091" s="10"/>
    </row>
    <row r="1092" spans="1:25" ht="16.5" customHeight="1" x14ac:dyDescent="0.2">
      <c r="A1092" s="413"/>
      <c r="B1092" s="417"/>
      <c r="C1092" s="414"/>
      <c r="D1092" s="148">
        <v>1.8</v>
      </c>
      <c r="E1092" s="148"/>
      <c r="F1092" s="148">
        <v>1.2</v>
      </c>
      <c r="G1092" s="148">
        <v>1</v>
      </c>
      <c r="H1092" s="148">
        <v>7</v>
      </c>
      <c r="I1092" s="148"/>
      <c r="J1092" s="170">
        <f t="shared" si="54"/>
        <v>15.120000000000001</v>
      </c>
      <c r="K1092" s="10"/>
      <c r="L1092" s="10"/>
      <c r="M1092" s="10"/>
      <c r="N1092" s="10"/>
      <c r="O1092" s="10"/>
      <c r="P1092" s="10"/>
      <c r="Q1092" s="10"/>
      <c r="R1092" s="10"/>
      <c r="S1092" s="10"/>
      <c r="T1092" s="10"/>
      <c r="U1092" s="10"/>
      <c r="V1092" s="10"/>
      <c r="W1092" s="10"/>
      <c r="X1092" s="10"/>
      <c r="Y1092" s="10"/>
    </row>
    <row r="1093" spans="1:25" ht="16.5" customHeight="1" x14ac:dyDescent="0.2">
      <c r="A1093" s="409" t="s">
        <v>684</v>
      </c>
      <c r="B1093" s="410"/>
      <c r="C1093" s="416"/>
      <c r="D1093" s="148">
        <v>1.2</v>
      </c>
      <c r="E1093" s="148"/>
      <c r="F1093" s="148">
        <v>1.2</v>
      </c>
      <c r="G1093" s="148">
        <v>3</v>
      </c>
      <c r="H1093" s="148">
        <v>7</v>
      </c>
      <c r="I1093" s="148"/>
      <c r="J1093" s="170">
        <f t="shared" si="54"/>
        <v>30.240000000000002</v>
      </c>
      <c r="K1093" s="10"/>
      <c r="L1093" s="10"/>
      <c r="M1093" s="10"/>
      <c r="N1093" s="10"/>
      <c r="O1093" s="10"/>
      <c r="P1093" s="10"/>
      <c r="Q1093" s="10"/>
      <c r="R1093" s="10"/>
      <c r="S1093" s="10"/>
      <c r="T1093" s="10"/>
      <c r="U1093" s="10"/>
      <c r="V1093" s="10"/>
      <c r="W1093" s="10"/>
      <c r="X1093" s="10"/>
      <c r="Y1093" s="10"/>
    </row>
    <row r="1094" spans="1:25" ht="16.5" customHeight="1" x14ac:dyDescent="0.2">
      <c r="A1094" s="413"/>
      <c r="B1094" s="417"/>
      <c r="C1094" s="414"/>
      <c r="D1094" s="148">
        <v>1.8</v>
      </c>
      <c r="E1094" s="148"/>
      <c r="F1094" s="148">
        <v>1.2</v>
      </c>
      <c r="G1094" s="148">
        <v>1</v>
      </c>
      <c r="H1094" s="148">
        <v>7</v>
      </c>
      <c r="I1094" s="148"/>
      <c r="J1094" s="170">
        <f t="shared" si="54"/>
        <v>15.120000000000001</v>
      </c>
      <c r="K1094" s="10"/>
      <c r="L1094" s="10"/>
      <c r="M1094" s="10"/>
      <c r="N1094" s="10"/>
      <c r="O1094" s="10"/>
      <c r="P1094" s="10"/>
      <c r="Q1094" s="10"/>
      <c r="R1094" s="10"/>
      <c r="S1094" s="10"/>
      <c r="T1094" s="10"/>
      <c r="U1094" s="10"/>
      <c r="V1094" s="10"/>
      <c r="W1094" s="10"/>
      <c r="X1094" s="10"/>
      <c r="Y1094" s="10"/>
    </row>
    <row r="1095" spans="1:25" ht="16.5" customHeight="1" x14ac:dyDescent="0.2">
      <c r="A1095" s="409" t="s">
        <v>685</v>
      </c>
      <c r="B1095" s="410"/>
      <c r="C1095" s="416"/>
      <c r="D1095" s="148">
        <v>1.2</v>
      </c>
      <c r="E1095" s="148"/>
      <c r="F1095" s="148">
        <v>1.2</v>
      </c>
      <c r="G1095" s="148">
        <v>3</v>
      </c>
      <c r="H1095" s="148">
        <v>7</v>
      </c>
      <c r="I1095" s="148"/>
      <c r="J1095" s="170">
        <f t="shared" si="54"/>
        <v>30.240000000000002</v>
      </c>
      <c r="K1095" s="10"/>
      <c r="L1095" s="10"/>
      <c r="M1095" s="10"/>
      <c r="N1095" s="10"/>
      <c r="O1095" s="10"/>
      <c r="P1095" s="10"/>
      <c r="Q1095" s="10"/>
      <c r="R1095" s="10"/>
      <c r="S1095" s="10"/>
      <c r="T1095" s="10"/>
      <c r="U1095" s="10"/>
      <c r="V1095" s="10"/>
      <c r="W1095" s="10"/>
      <c r="X1095" s="10"/>
      <c r="Y1095" s="10"/>
    </row>
    <row r="1096" spans="1:25" ht="16.5" customHeight="1" x14ac:dyDescent="0.2">
      <c r="A1096" s="413"/>
      <c r="B1096" s="417"/>
      <c r="C1096" s="414"/>
      <c r="D1096" s="148">
        <v>1.8</v>
      </c>
      <c r="E1096" s="148"/>
      <c r="F1096" s="148">
        <v>1.2</v>
      </c>
      <c r="G1096" s="148">
        <v>1</v>
      </c>
      <c r="H1096" s="148">
        <v>7</v>
      </c>
      <c r="I1096" s="148"/>
      <c r="J1096" s="170">
        <f t="shared" si="54"/>
        <v>15.120000000000001</v>
      </c>
      <c r="K1096" s="10"/>
      <c r="L1096" s="10"/>
      <c r="M1096" s="10"/>
      <c r="N1096" s="10"/>
      <c r="O1096" s="10"/>
      <c r="P1096" s="10"/>
      <c r="Q1096" s="10"/>
      <c r="R1096" s="10"/>
      <c r="S1096" s="10"/>
      <c r="T1096" s="10"/>
      <c r="U1096" s="10"/>
      <c r="V1096" s="10"/>
      <c r="W1096" s="10"/>
      <c r="X1096" s="10"/>
      <c r="Y1096" s="10"/>
    </row>
    <row r="1097" spans="1:25" ht="16.5" customHeight="1" x14ac:dyDescent="0.2">
      <c r="A1097" s="409" t="s">
        <v>687</v>
      </c>
      <c r="B1097" s="410"/>
      <c r="C1097" s="416"/>
      <c r="D1097" s="148">
        <v>1.2</v>
      </c>
      <c r="E1097" s="148"/>
      <c r="F1097" s="148">
        <v>1.2</v>
      </c>
      <c r="G1097" s="148">
        <v>3</v>
      </c>
      <c r="H1097" s="148">
        <v>7</v>
      </c>
      <c r="I1097" s="148"/>
      <c r="J1097" s="170">
        <f t="shared" si="54"/>
        <v>30.240000000000002</v>
      </c>
      <c r="K1097" s="10"/>
      <c r="L1097" s="10"/>
      <c r="M1097" s="10"/>
      <c r="N1097" s="10"/>
      <c r="O1097" s="10"/>
      <c r="P1097" s="10"/>
      <c r="Q1097" s="10"/>
      <c r="R1097" s="10"/>
      <c r="S1097" s="10"/>
      <c r="T1097" s="10"/>
      <c r="U1097" s="10"/>
      <c r="V1097" s="10"/>
      <c r="W1097" s="10"/>
      <c r="X1097" s="10"/>
      <c r="Y1097" s="10"/>
    </row>
    <row r="1098" spans="1:25" ht="16.5" customHeight="1" x14ac:dyDescent="0.2">
      <c r="A1098" s="413"/>
      <c r="B1098" s="417"/>
      <c r="C1098" s="414"/>
      <c r="D1098" s="148">
        <v>1.8</v>
      </c>
      <c r="E1098" s="148"/>
      <c r="F1098" s="148">
        <v>1.2</v>
      </c>
      <c r="G1098" s="148">
        <v>1</v>
      </c>
      <c r="H1098" s="148">
        <v>7</v>
      </c>
      <c r="I1098" s="148"/>
      <c r="J1098" s="170">
        <f t="shared" si="54"/>
        <v>15.120000000000001</v>
      </c>
      <c r="K1098" s="10"/>
      <c r="L1098" s="10"/>
      <c r="M1098" s="10"/>
      <c r="N1098" s="10"/>
      <c r="O1098" s="10"/>
      <c r="P1098" s="10"/>
      <c r="Q1098" s="10"/>
      <c r="R1098" s="10"/>
      <c r="S1098" s="10"/>
      <c r="T1098" s="10"/>
      <c r="U1098" s="10"/>
      <c r="V1098" s="10"/>
      <c r="W1098" s="10"/>
      <c r="X1098" s="10"/>
      <c r="Y1098" s="10"/>
    </row>
    <row r="1099" spans="1:25" ht="16.5" customHeight="1" x14ac:dyDescent="0.2">
      <c r="A1099" s="342" t="str">
        <f>"TOTAL - "&amp;'Planilha orçamentária'!F87</f>
        <v>TOTAL - M2</v>
      </c>
      <c r="B1099" s="342"/>
      <c r="C1099" s="342"/>
      <c r="D1099" s="342"/>
      <c r="E1099" s="342"/>
      <c r="F1099" s="342"/>
      <c r="G1099" s="342"/>
      <c r="H1099" s="342"/>
      <c r="I1099" s="342"/>
      <c r="J1099" s="149">
        <f>SUM(J1067:J1098)</f>
        <v>725.7600000000001</v>
      </c>
      <c r="K1099" s="10"/>
      <c r="L1099" s="10"/>
      <c r="M1099" s="10"/>
      <c r="N1099" s="10"/>
      <c r="O1099" s="10"/>
      <c r="P1099" s="10"/>
      <c r="Q1099" s="10"/>
      <c r="R1099" s="10"/>
      <c r="S1099" s="10"/>
      <c r="T1099" s="10"/>
      <c r="U1099" s="10"/>
      <c r="V1099" s="10"/>
      <c r="W1099" s="10"/>
      <c r="X1099" s="10"/>
      <c r="Y1099" s="10"/>
    </row>
    <row r="1100" spans="1:25" ht="16.5" customHeight="1" x14ac:dyDescent="0.2">
      <c r="A1100" s="184" t="str">
        <f>'Planilha orçamentária'!A88</f>
        <v>11.5</v>
      </c>
      <c r="B1100" s="343" t="str">
        <f>'Planilha orçamentária'!D88</f>
        <v>Fornecimento e assentamento de janela em ferro, tipo maxim-ar, inclusive ferragens e acessórios</v>
      </c>
      <c r="C1100" s="344"/>
      <c r="D1100" s="344"/>
      <c r="E1100" s="344"/>
      <c r="F1100" s="344"/>
      <c r="G1100" s="344"/>
      <c r="H1100" s="344"/>
      <c r="I1100" s="344"/>
      <c r="J1100" s="344"/>
      <c r="K1100" s="10"/>
      <c r="L1100" s="10"/>
      <c r="M1100" s="10"/>
      <c r="N1100" s="10"/>
      <c r="O1100" s="10"/>
      <c r="P1100" s="10"/>
      <c r="Q1100" s="10"/>
      <c r="R1100" s="10"/>
      <c r="S1100" s="10"/>
      <c r="T1100" s="10"/>
      <c r="U1100" s="10"/>
      <c r="V1100" s="10"/>
      <c r="W1100" s="10"/>
      <c r="X1100" s="10"/>
      <c r="Y1100" s="10"/>
    </row>
    <row r="1101" spans="1:25" ht="25.5" customHeight="1" x14ac:dyDescent="0.2">
      <c r="A1101" s="327" t="s">
        <v>120</v>
      </c>
      <c r="B1101" s="328"/>
      <c r="C1101" s="328"/>
      <c r="D1101" s="182" t="s">
        <v>121</v>
      </c>
      <c r="E1101" s="182" t="s">
        <v>122</v>
      </c>
      <c r="F1101" s="181" t="s">
        <v>123</v>
      </c>
      <c r="G1101" s="181" t="s">
        <v>124</v>
      </c>
      <c r="H1101" s="181" t="s">
        <v>489</v>
      </c>
      <c r="I1101" s="182" t="s">
        <v>125</v>
      </c>
      <c r="J1101" s="182" t="s">
        <v>113</v>
      </c>
      <c r="K1101" s="10"/>
      <c r="L1101" s="10"/>
      <c r="M1101" s="10"/>
      <c r="N1101" s="10"/>
      <c r="O1101" s="10"/>
      <c r="P1101" s="10"/>
      <c r="Q1101" s="10"/>
      <c r="R1101" s="10"/>
      <c r="S1101" s="10"/>
      <c r="T1101" s="10"/>
      <c r="U1101" s="10"/>
      <c r="V1101" s="10"/>
      <c r="W1101" s="10"/>
      <c r="X1101" s="10"/>
      <c r="Y1101" s="10"/>
    </row>
    <row r="1102" spans="1:25" ht="16.5" customHeight="1" x14ac:dyDescent="0.2">
      <c r="A1102" s="318" t="s">
        <v>671</v>
      </c>
      <c r="B1102" s="319"/>
      <c r="C1102" s="332"/>
      <c r="D1102" s="148">
        <v>1.2</v>
      </c>
      <c r="E1102" s="148"/>
      <c r="F1102" s="148">
        <v>0.6</v>
      </c>
      <c r="G1102" s="148">
        <v>1</v>
      </c>
      <c r="H1102" s="148">
        <v>7</v>
      </c>
      <c r="I1102" s="148"/>
      <c r="J1102" s="170">
        <f t="shared" ref="J1102:J1120" si="55">PRODUCT(D1102:H1102)-I1102</f>
        <v>5.04</v>
      </c>
      <c r="K1102" s="10"/>
      <c r="L1102" s="10"/>
      <c r="M1102" s="10"/>
      <c r="N1102" s="10"/>
      <c r="O1102" s="10"/>
      <c r="P1102" s="10"/>
      <c r="Q1102" s="10"/>
      <c r="R1102" s="10"/>
      <c r="S1102" s="10"/>
      <c r="T1102" s="10"/>
      <c r="U1102" s="10"/>
      <c r="V1102" s="10"/>
      <c r="W1102" s="10"/>
      <c r="X1102" s="10"/>
      <c r="Y1102" s="10"/>
    </row>
    <row r="1103" spans="1:25" ht="16.5" customHeight="1" x14ac:dyDescent="0.2">
      <c r="A1103" s="318" t="s">
        <v>672</v>
      </c>
      <c r="B1103" s="319"/>
      <c r="C1103" s="332"/>
      <c r="D1103" s="148">
        <v>1.2</v>
      </c>
      <c r="E1103" s="148"/>
      <c r="F1103" s="148">
        <v>0.6</v>
      </c>
      <c r="G1103" s="148">
        <v>1</v>
      </c>
      <c r="H1103" s="148">
        <v>7</v>
      </c>
      <c r="I1103" s="148"/>
      <c r="J1103" s="170">
        <f t="shared" si="55"/>
        <v>5.04</v>
      </c>
      <c r="K1103" s="10"/>
      <c r="L1103" s="10"/>
      <c r="M1103" s="10"/>
      <c r="N1103" s="10"/>
      <c r="O1103" s="10"/>
      <c r="P1103" s="10"/>
      <c r="Q1103" s="10"/>
      <c r="R1103" s="10"/>
      <c r="S1103" s="10"/>
      <c r="T1103" s="10"/>
      <c r="U1103" s="10"/>
      <c r="V1103" s="10"/>
      <c r="W1103" s="10"/>
      <c r="X1103" s="10"/>
      <c r="Y1103" s="10"/>
    </row>
    <row r="1104" spans="1:25" ht="16.5" customHeight="1" x14ac:dyDescent="0.2">
      <c r="A1104" s="318" t="s">
        <v>765</v>
      </c>
      <c r="B1104" s="319"/>
      <c r="C1104" s="332"/>
      <c r="D1104" s="148">
        <v>1.2</v>
      </c>
      <c r="E1104" s="148"/>
      <c r="F1104" s="148">
        <v>0.6</v>
      </c>
      <c r="G1104" s="148">
        <v>1</v>
      </c>
      <c r="H1104" s="148">
        <v>7</v>
      </c>
      <c r="I1104" s="148"/>
      <c r="J1104" s="170">
        <f t="shared" si="55"/>
        <v>5.04</v>
      </c>
      <c r="K1104" s="10"/>
      <c r="L1104" s="10"/>
      <c r="M1104" s="10"/>
      <c r="N1104" s="10"/>
      <c r="O1104" s="10"/>
      <c r="P1104" s="10"/>
      <c r="Q1104" s="10"/>
      <c r="R1104" s="10"/>
      <c r="S1104" s="10"/>
      <c r="T1104" s="10"/>
      <c r="U1104" s="10"/>
      <c r="V1104" s="10"/>
      <c r="W1104" s="10"/>
      <c r="X1104" s="10"/>
      <c r="Y1104" s="10"/>
    </row>
    <row r="1105" spans="1:25" ht="16.5" customHeight="1" x14ac:dyDescent="0.2">
      <c r="A1105" s="318" t="s">
        <v>766</v>
      </c>
      <c r="B1105" s="319"/>
      <c r="C1105" s="332"/>
      <c r="D1105" s="148">
        <v>1.2</v>
      </c>
      <c r="E1105" s="148"/>
      <c r="F1105" s="148">
        <v>0.6</v>
      </c>
      <c r="G1105" s="148">
        <v>1</v>
      </c>
      <c r="H1105" s="148">
        <v>7</v>
      </c>
      <c r="I1105" s="148"/>
      <c r="J1105" s="170">
        <f t="shared" si="55"/>
        <v>5.04</v>
      </c>
      <c r="K1105" s="10"/>
      <c r="L1105" s="10"/>
      <c r="M1105" s="10"/>
      <c r="N1105" s="10"/>
      <c r="O1105" s="10"/>
      <c r="P1105" s="10"/>
      <c r="Q1105" s="10"/>
      <c r="R1105" s="10"/>
      <c r="S1105" s="10"/>
      <c r="T1105" s="10"/>
      <c r="U1105" s="10"/>
      <c r="V1105" s="10"/>
      <c r="W1105" s="10"/>
      <c r="X1105" s="10"/>
      <c r="Y1105" s="10"/>
    </row>
    <row r="1106" spans="1:25" ht="16.5" customHeight="1" x14ac:dyDescent="0.2">
      <c r="A1106" s="318" t="s">
        <v>794</v>
      </c>
      <c r="B1106" s="319"/>
      <c r="C1106" s="332"/>
      <c r="D1106" s="148">
        <v>1.2</v>
      </c>
      <c r="E1106" s="148"/>
      <c r="F1106" s="148">
        <v>0.6</v>
      </c>
      <c r="G1106" s="148">
        <v>1</v>
      </c>
      <c r="H1106" s="148">
        <v>7</v>
      </c>
      <c r="I1106" s="148"/>
      <c r="J1106" s="170">
        <f t="shared" si="55"/>
        <v>5.04</v>
      </c>
      <c r="K1106" s="10"/>
      <c r="L1106" s="10"/>
      <c r="M1106" s="10"/>
      <c r="N1106" s="10"/>
      <c r="O1106" s="10"/>
      <c r="P1106" s="10"/>
      <c r="Q1106" s="10"/>
      <c r="R1106" s="10"/>
      <c r="S1106" s="10"/>
      <c r="T1106" s="10"/>
      <c r="U1106" s="10"/>
      <c r="V1106" s="10"/>
      <c r="W1106" s="10"/>
      <c r="X1106" s="10"/>
      <c r="Y1106" s="10"/>
    </row>
    <row r="1107" spans="1:25" ht="16.5" customHeight="1" x14ac:dyDescent="0.2">
      <c r="A1107" s="318" t="s">
        <v>795</v>
      </c>
      <c r="B1107" s="319"/>
      <c r="C1107" s="332"/>
      <c r="D1107" s="148">
        <v>1.2</v>
      </c>
      <c r="E1107" s="148"/>
      <c r="F1107" s="148">
        <v>0.6</v>
      </c>
      <c r="G1107" s="148">
        <v>1</v>
      </c>
      <c r="H1107" s="148">
        <v>7</v>
      </c>
      <c r="I1107" s="148"/>
      <c r="J1107" s="170">
        <f t="shared" si="55"/>
        <v>5.04</v>
      </c>
      <c r="K1107" s="10"/>
      <c r="L1107" s="10"/>
      <c r="M1107" s="10"/>
      <c r="N1107" s="10"/>
      <c r="O1107" s="10"/>
      <c r="P1107" s="10"/>
      <c r="Q1107" s="10"/>
      <c r="R1107" s="10"/>
      <c r="S1107" s="10"/>
      <c r="T1107" s="10"/>
      <c r="U1107" s="10"/>
      <c r="V1107" s="10"/>
      <c r="W1107" s="10"/>
      <c r="X1107" s="10"/>
      <c r="Y1107" s="10"/>
    </row>
    <row r="1108" spans="1:25" ht="16.5" customHeight="1" x14ac:dyDescent="0.2">
      <c r="A1108" s="318" t="s">
        <v>796</v>
      </c>
      <c r="B1108" s="319"/>
      <c r="C1108" s="332"/>
      <c r="D1108" s="148">
        <v>1.2</v>
      </c>
      <c r="E1108" s="148"/>
      <c r="F1108" s="148">
        <v>0.6</v>
      </c>
      <c r="G1108" s="148">
        <v>1</v>
      </c>
      <c r="H1108" s="148">
        <v>7</v>
      </c>
      <c r="I1108" s="148"/>
      <c r="J1108" s="170">
        <f t="shared" si="55"/>
        <v>5.04</v>
      </c>
      <c r="K1108" s="10"/>
      <c r="L1108" s="10"/>
      <c r="M1108" s="10"/>
      <c r="N1108" s="10"/>
      <c r="O1108" s="10"/>
      <c r="P1108" s="10"/>
      <c r="Q1108" s="10"/>
      <c r="R1108" s="10"/>
      <c r="S1108" s="10"/>
      <c r="T1108" s="10"/>
      <c r="U1108" s="10"/>
      <c r="V1108" s="10"/>
      <c r="W1108" s="10"/>
      <c r="X1108" s="10"/>
      <c r="Y1108" s="10"/>
    </row>
    <row r="1109" spans="1:25" ht="16.5" customHeight="1" x14ac:dyDescent="0.2">
      <c r="A1109" s="318" t="s">
        <v>797</v>
      </c>
      <c r="B1109" s="319"/>
      <c r="C1109" s="332"/>
      <c r="D1109" s="148">
        <v>1.2</v>
      </c>
      <c r="E1109" s="148"/>
      <c r="F1109" s="148">
        <v>0.6</v>
      </c>
      <c r="G1109" s="148">
        <v>1</v>
      </c>
      <c r="H1109" s="148">
        <v>7</v>
      </c>
      <c r="I1109" s="148"/>
      <c r="J1109" s="170">
        <f t="shared" si="55"/>
        <v>5.04</v>
      </c>
      <c r="K1109" s="10"/>
      <c r="L1109" s="10"/>
      <c r="M1109" s="10"/>
      <c r="N1109" s="10"/>
      <c r="O1109" s="10"/>
      <c r="P1109" s="10"/>
      <c r="Q1109" s="10"/>
      <c r="R1109" s="10"/>
      <c r="S1109" s="10"/>
      <c r="T1109" s="10"/>
      <c r="U1109" s="10"/>
      <c r="V1109" s="10"/>
      <c r="W1109" s="10"/>
      <c r="X1109" s="10"/>
      <c r="Y1109" s="10"/>
    </row>
    <row r="1110" spans="1:25" ht="16.5" customHeight="1" x14ac:dyDescent="0.2">
      <c r="A1110" s="318" t="s">
        <v>798</v>
      </c>
      <c r="B1110" s="319"/>
      <c r="C1110" s="332"/>
      <c r="D1110" s="148">
        <v>1.2</v>
      </c>
      <c r="E1110" s="148"/>
      <c r="F1110" s="148">
        <v>0.6</v>
      </c>
      <c r="G1110" s="148">
        <v>1</v>
      </c>
      <c r="H1110" s="148">
        <v>7</v>
      </c>
      <c r="I1110" s="148"/>
      <c r="J1110" s="170">
        <f t="shared" si="55"/>
        <v>5.04</v>
      </c>
      <c r="K1110" s="10"/>
      <c r="L1110" s="10"/>
      <c r="M1110" s="10"/>
      <c r="N1110" s="10"/>
      <c r="O1110" s="10"/>
      <c r="P1110" s="10"/>
      <c r="Q1110" s="10"/>
      <c r="R1110" s="10"/>
      <c r="S1110" s="10"/>
      <c r="T1110" s="10"/>
      <c r="U1110" s="10"/>
      <c r="V1110" s="10"/>
      <c r="W1110" s="10"/>
      <c r="X1110" s="10"/>
      <c r="Y1110" s="10"/>
    </row>
    <row r="1111" spans="1:25" ht="16.5" customHeight="1" x14ac:dyDescent="0.2">
      <c r="A1111" s="318" t="s">
        <v>799</v>
      </c>
      <c r="B1111" s="319"/>
      <c r="C1111" s="332"/>
      <c r="D1111" s="148">
        <v>1.2</v>
      </c>
      <c r="E1111" s="148"/>
      <c r="F1111" s="148">
        <v>0.6</v>
      </c>
      <c r="G1111" s="148">
        <v>1</v>
      </c>
      <c r="H1111" s="148">
        <v>7</v>
      </c>
      <c r="I1111" s="148"/>
      <c r="J1111" s="170">
        <f t="shared" si="55"/>
        <v>5.04</v>
      </c>
      <c r="K1111" s="10"/>
      <c r="L1111" s="10"/>
      <c r="M1111" s="10"/>
      <c r="N1111" s="10"/>
      <c r="O1111" s="10"/>
      <c r="P1111" s="10"/>
      <c r="Q1111" s="10"/>
      <c r="R1111" s="10"/>
      <c r="S1111" s="10"/>
      <c r="T1111" s="10"/>
      <c r="U1111" s="10"/>
      <c r="V1111" s="10"/>
      <c r="W1111" s="10"/>
      <c r="X1111" s="10"/>
      <c r="Y1111" s="10"/>
    </row>
    <row r="1112" spans="1:25" ht="16.5" customHeight="1" x14ac:dyDescent="0.2">
      <c r="A1112" s="318" t="s">
        <v>681</v>
      </c>
      <c r="B1112" s="319"/>
      <c r="C1112" s="332"/>
      <c r="D1112" s="148">
        <v>1.2</v>
      </c>
      <c r="E1112" s="148"/>
      <c r="F1112" s="148">
        <v>0.6</v>
      </c>
      <c r="G1112" s="148">
        <v>1</v>
      </c>
      <c r="H1112" s="148">
        <v>7</v>
      </c>
      <c r="I1112" s="148"/>
      <c r="J1112" s="170">
        <f t="shared" si="55"/>
        <v>5.04</v>
      </c>
      <c r="K1112" s="10"/>
      <c r="L1112" s="10"/>
      <c r="M1112" s="10"/>
      <c r="N1112" s="10"/>
      <c r="O1112" s="10"/>
      <c r="P1112" s="10"/>
      <c r="Q1112" s="10"/>
      <c r="R1112" s="10"/>
      <c r="S1112" s="10"/>
      <c r="T1112" s="10"/>
      <c r="U1112" s="10"/>
      <c r="V1112" s="10"/>
      <c r="W1112" s="10"/>
      <c r="X1112" s="10"/>
      <c r="Y1112" s="10"/>
    </row>
    <row r="1113" spans="1:25" ht="16.5" customHeight="1" x14ac:dyDescent="0.2">
      <c r="A1113" s="318" t="s">
        <v>800</v>
      </c>
      <c r="B1113" s="319"/>
      <c r="C1113" s="332"/>
      <c r="D1113" s="148">
        <v>1.2</v>
      </c>
      <c r="E1113" s="148"/>
      <c r="F1113" s="148">
        <v>0.6</v>
      </c>
      <c r="G1113" s="148">
        <v>1</v>
      </c>
      <c r="H1113" s="148">
        <v>7</v>
      </c>
      <c r="I1113" s="148"/>
      <c r="J1113" s="170">
        <f t="shared" si="55"/>
        <v>5.04</v>
      </c>
      <c r="K1113" s="10"/>
      <c r="L1113" s="10"/>
      <c r="M1113" s="10"/>
      <c r="N1113" s="10"/>
      <c r="O1113" s="10"/>
      <c r="P1113" s="10"/>
      <c r="Q1113" s="10"/>
      <c r="R1113" s="10"/>
      <c r="S1113" s="10"/>
      <c r="T1113" s="10"/>
      <c r="U1113" s="10"/>
      <c r="V1113" s="10"/>
      <c r="W1113" s="10"/>
      <c r="X1113" s="10"/>
      <c r="Y1113" s="10"/>
    </row>
    <row r="1114" spans="1:25" ht="16.5" customHeight="1" x14ac:dyDescent="0.2">
      <c r="A1114" s="318" t="s">
        <v>801</v>
      </c>
      <c r="B1114" s="319"/>
      <c r="C1114" s="332"/>
      <c r="D1114" s="148">
        <v>1.2</v>
      </c>
      <c r="E1114" s="148"/>
      <c r="F1114" s="148">
        <v>0.6</v>
      </c>
      <c r="G1114" s="148">
        <v>1</v>
      </c>
      <c r="H1114" s="148">
        <v>7</v>
      </c>
      <c r="I1114" s="148"/>
      <c r="J1114" s="170">
        <f t="shared" si="55"/>
        <v>5.04</v>
      </c>
      <c r="K1114" s="10"/>
      <c r="L1114" s="10"/>
      <c r="M1114" s="10"/>
      <c r="N1114" s="10"/>
      <c r="O1114" s="10"/>
      <c r="P1114" s="10"/>
      <c r="Q1114" s="10"/>
      <c r="R1114" s="10"/>
      <c r="S1114" s="10"/>
      <c r="T1114" s="10"/>
      <c r="U1114" s="10"/>
      <c r="V1114" s="10"/>
      <c r="W1114" s="10"/>
      <c r="X1114" s="10"/>
      <c r="Y1114" s="10"/>
    </row>
    <row r="1115" spans="1:25" ht="16.5" customHeight="1" x14ac:dyDescent="0.2">
      <c r="A1115" s="318" t="s">
        <v>802</v>
      </c>
      <c r="B1115" s="319"/>
      <c r="C1115" s="332"/>
      <c r="D1115" s="148">
        <v>1.2</v>
      </c>
      <c r="E1115" s="148"/>
      <c r="F1115" s="148">
        <v>0.6</v>
      </c>
      <c r="G1115" s="148">
        <v>1</v>
      </c>
      <c r="H1115" s="148">
        <v>7</v>
      </c>
      <c r="I1115" s="148"/>
      <c r="J1115" s="170">
        <f t="shared" si="55"/>
        <v>5.04</v>
      </c>
      <c r="K1115" s="10"/>
      <c r="L1115" s="10"/>
      <c r="M1115" s="10"/>
      <c r="N1115" s="10"/>
      <c r="O1115" s="10"/>
      <c r="P1115" s="10"/>
      <c r="Q1115" s="10"/>
      <c r="R1115" s="10"/>
      <c r="S1115" s="10"/>
      <c r="T1115" s="10"/>
      <c r="U1115" s="10"/>
      <c r="V1115" s="10"/>
      <c r="W1115" s="10"/>
      <c r="X1115" s="10"/>
      <c r="Y1115" s="10"/>
    </row>
    <row r="1116" spans="1:25" ht="16.5" customHeight="1" x14ac:dyDescent="0.2">
      <c r="A1116" s="318" t="s">
        <v>803</v>
      </c>
      <c r="B1116" s="319"/>
      <c r="C1116" s="332"/>
      <c r="D1116" s="148">
        <v>1.2</v>
      </c>
      <c r="E1116" s="148"/>
      <c r="F1116" s="148">
        <v>0.6</v>
      </c>
      <c r="G1116" s="148">
        <v>1</v>
      </c>
      <c r="H1116" s="148">
        <v>7</v>
      </c>
      <c r="I1116" s="148"/>
      <c r="J1116" s="170">
        <f t="shared" si="55"/>
        <v>5.04</v>
      </c>
      <c r="K1116" s="10"/>
      <c r="L1116" s="10"/>
      <c r="M1116" s="10"/>
      <c r="N1116" s="10"/>
      <c r="O1116" s="10"/>
      <c r="P1116" s="10"/>
      <c r="Q1116" s="10"/>
      <c r="R1116" s="10"/>
      <c r="S1116" s="10"/>
      <c r="T1116" s="10"/>
      <c r="U1116" s="10"/>
      <c r="V1116" s="10"/>
      <c r="W1116" s="10"/>
      <c r="X1116" s="10"/>
      <c r="Y1116" s="10"/>
    </row>
    <row r="1117" spans="1:25" ht="16.5" customHeight="1" x14ac:dyDescent="0.2">
      <c r="A1117" s="318" t="s">
        <v>804</v>
      </c>
      <c r="B1117" s="319"/>
      <c r="C1117" s="332"/>
      <c r="D1117" s="148">
        <v>1.2</v>
      </c>
      <c r="E1117" s="148"/>
      <c r="F1117" s="148">
        <v>0.6</v>
      </c>
      <c r="G1117" s="148">
        <v>1</v>
      </c>
      <c r="H1117" s="148">
        <v>7</v>
      </c>
      <c r="I1117" s="148"/>
      <c r="J1117" s="170">
        <f t="shared" si="55"/>
        <v>5.04</v>
      </c>
      <c r="K1117" s="10"/>
      <c r="L1117" s="10"/>
      <c r="M1117" s="10"/>
      <c r="N1117" s="10"/>
      <c r="O1117" s="10"/>
      <c r="P1117" s="10"/>
      <c r="Q1117" s="10"/>
      <c r="R1117" s="10"/>
      <c r="S1117" s="10"/>
      <c r="T1117" s="10"/>
      <c r="U1117" s="10"/>
      <c r="V1117" s="10"/>
      <c r="W1117" s="10"/>
      <c r="X1117" s="10"/>
      <c r="Y1117" s="10"/>
    </row>
    <row r="1118" spans="1:25" ht="16.5" customHeight="1" x14ac:dyDescent="0.2">
      <c r="A1118" s="321" t="s">
        <v>807</v>
      </c>
      <c r="B1118" s="322"/>
      <c r="C1118" s="323"/>
      <c r="D1118" s="148">
        <v>0.8</v>
      </c>
      <c r="E1118" s="148"/>
      <c r="F1118" s="148">
        <v>1.6</v>
      </c>
      <c r="G1118" s="148">
        <v>3</v>
      </c>
      <c r="H1118" s="148">
        <v>7</v>
      </c>
      <c r="I1118" s="147"/>
      <c r="J1118" s="170">
        <f t="shared" si="55"/>
        <v>26.880000000000006</v>
      </c>
      <c r="L1118" s="10"/>
      <c r="M1118" s="10"/>
      <c r="N1118" s="10"/>
      <c r="O1118" s="10"/>
      <c r="P1118" s="10"/>
      <c r="Q1118" s="10"/>
      <c r="R1118" s="10"/>
      <c r="S1118" s="10"/>
      <c r="T1118" s="10"/>
      <c r="U1118" s="10"/>
      <c r="V1118" s="10"/>
      <c r="W1118" s="10"/>
      <c r="X1118" s="10"/>
      <c r="Y1118" s="10"/>
    </row>
    <row r="1119" spans="1:25" ht="16.5" customHeight="1" x14ac:dyDescent="0.2">
      <c r="A1119" s="329"/>
      <c r="B1119" s="357"/>
      <c r="C1119" s="330"/>
      <c r="D1119" s="148">
        <v>0.6</v>
      </c>
      <c r="E1119" s="148"/>
      <c r="F1119" s="148">
        <v>1.2</v>
      </c>
      <c r="G1119" s="148">
        <v>8</v>
      </c>
      <c r="H1119" s="148">
        <v>7</v>
      </c>
      <c r="I1119" s="147"/>
      <c r="J1119" s="170">
        <f t="shared" si="55"/>
        <v>40.32</v>
      </c>
      <c r="L1119" s="10"/>
      <c r="M1119" s="10"/>
      <c r="N1119" s="10"/>
      <c r="O1119" s="10"/>
      <c r="P1119" s="10"/>
      <c r="Q1119" s="10"/>
      <c r="R1119" s="10"/>
      <c r="S1119" s="10"/>
      <c r="T1119" s="10"/>
      <c r="U1119" s="10"/>
      <c r="V1119" s="10"/>
      <c r="W1119" s="10"/>
      <c r="X1119" s="10"/>
      <c r="Y1119" s="10"/>
    </row>
    <row r="1120" spans="1:25" ht="16.5" customHeight="1" x14ac:dyDescent="0.2">
      <c r="A1120" s="324"/>
      <c r="B1120" s="325"/>
      <c r="C1120" s="326"/>
      <c r="D1120" s="148">
        <v>0.6</v>
      </c>
      <c r="E1120" s="148"/>
      <c r="F1120" s="148">
        <v>0.8</v>
      </c>
      <c r="G1120" s="148">
        <v>2</v>
      </c>
      <c r="H1120" s="148">
        <v>7</v>
      </c>
      <c r="I1120" s="147"/>
      <c r="J1120" s="170">
        <f t="shared" si="55"/>
        <v>6.72</v>
      </c>
      <c r="L1120" s="10"/>
      <c r="M1120" s="10"/>
      <c r="N1120" s="10"/>
      <c r="O1120" s="10"/>
      <c r="P1120" s="10"/>
      <c r="Q1120" s="10"/>
      <c r="R1120" s="10"/>
      <c r="S1120" s="10"/>
      <c r="T1120" s="10"/>
      <c r="U1120" s="10"/>
      <c r="V1120" s="10"/>
      <c r="W1120" s="10"/>
      <c r="X1120" s="10"/>
      <c r="Y1120" s="10"/>
    </row>
    <row r="1121" spans="1:25" ht="16.5" customHeight="1" x14ac:dyDescent="0.2">
      <c r="A1121" s="342" t="str">
        <f>"TOTAL - "&amp;'Planilha orçamentária'!F88</f>
        <v>TOTAL - M2</v>
      </c>
      <c r="B1121" s="342"/>
      <c r="C1121" s="342"/>
      <c r="D1121" s="342"/>
      <c r="E1121" s="342"/>
      <c r="F1121" s="342"/>
      <c r="G1121" s="342"/>
      <c r="H1121" s="342"/>
      <c r="I1121" s="342"/>
      <c r="J1121" s="149">
        <f>SUM(J1102:J1120)</f>
        <v>154.56000000000003</v>
      </c>
      <c r="K1121" s="10"/>
      <c r="L1121" s="10"/>
      <c r="M1121" s="10"/>
      <c r="N1121" s="10"/>
      <c r="O1121" s="10"/>
      <c r="P1121" s="10"/>
      <c r="Q1121" s="10"/>
      <c r="R1121" s="10"/>
      <c r="S1121" s="10"/>
      <c r="T1121" s="10"/>
      <c r="U1121" s="10"/>
      <c r="V1121" s="10"/>
      <c r="W1121" s="10"/>
      <c r="X1121" s="10"/>
      <c r="Y1121" s="10"/>
    </row>
    <row r="1122" spans="1:25" ht="16.5" customHeight="1" x14ac:dyDescent="0.2">
      <c r="A1122" s="184" t="str">
        <f>'Planilha orçamentária'!A89</f>
        <v>11.6</v>
      </c>
      <c r="B1122" s="343" t="str">
        <f>'Planilha orçamentária'!D89</f>
        <v>Vidro comum liso incolor, esp. 4mm, inclusive fixação e vedação com guarnição/gaxeta de borracha neoprene, fornecimento e instalação, exclusive caixilho/perfil</v>
      </c>
      <c r="C1122" s="344"/>
      <c r="D1122" s="344"/>
      <c r="E1122" s="344"/>
      <c r="F1122" s="344"/>
      <c r="G1122" s="344"/>
      <c r="H1122" s="344"/>
      <c r="I1122" s="344"/>
      <c r="J1122" s="344"/>
      <c r="K1122" s="10"/>
      <c r="L1122" s="10"/>
      <c r="M1122" s="10"/>
      <c r="N1122" s="10"/>
      <c r="O1122" s="10"/>
      <c r="P1122" s="10"/>
      <c r="Q1122" s="10"/>
      <c r="R1122" s="10"/>
      <c r="S1122" s="10"/>
      <c r="T1122" s="10"/>
      <c r="U1122" s="10"/>
      <c r="V1122" s="10"/>
      <c r="W1122" s="10"/>
      <c r="X1122" s="10"/>
      <c r="Y1122" s="10"/>
    </row>
    <row r="1123" spans="1:25" ht="25.5" customHeight="1" x14ac:dyDescent="0.2">
      <c r="A1123" s="327" t="s">
        <v>120</v>
      </c>
      <c r="B1123" s="328"/>
      <c r="C1123" s="328"/>
      <c r="D1123" s="182" t="s">
        <v>121</v>
      </c>
      <c r="E1123" s="182" t="s">
        <v>122</v>
      </c>
      <c r="F1123" s="181" t="s">
        <v>123</v>
      </c>
      <c r="G1123" s="181" t="s">
        <v>124</v>
      </c>
      <c r="H1123" s="181" t="s">
        <v>489</v>
      </c>
      <c r="I1123" s="182" t="s">
        <v>125</v>
      </c>
      <c r="J1123" s="182" t="s">
        <v>113</v>
      </c>
      <c r="K1123" s="10"/>
      <c r="L1123" s="10"/>
      <c r="M1123" s="10"/>
      <c r="N1123" s="10"/>
      <c r="O1123" s="10"/>
      <c r="P1123" s="10"/>
      <c r="Q1123" s="10"/>
      <c r="R1123" s="10"/>
      <c r="S1123" s="10"/>
      <c r="T1123" s="10"/>
      <c r="U1123" s="10"/>
      <c r="V1123" s="10"/>
      <c r="W1123" s="10"/>
      <c r="X1123" s="10"/>
      <c r="Y1123" s="10"/>
    </row>
    <row r="1124" spans="1:25" ht="16.5" customHeight="1" x14ac:dyDescent="0.2">
      <c r="A1124" s="409" t="s">
        <v>671</v>
      </c>
      <c r="B1124" s="410"/>
      <c r="C1124" s="416"/>
      <c r="D1124" s="148">
        <v>1.2</v>
      </c>
      <c r="E1124" s="148"/>
      <c r="F1124" s="148">
        <v>1.2</v>
      </c>
      <c r="G1124" s="148">
        <v>3</v>
      </c>
      <c r="H1124" s="148">
        <v>7</v>
      </c>
      <c r="I1124" s="147"/>
      <c r="J1124" s="170">
        <f t="shared" ref="J1124:J1174" si="56">PRODUCT(D1124:H1124)-I1124</f>
        <v>30.240000000000002</v>
      </c>
      <c r="L1124" s="10"/>
      <c r="M1124" s="10"/>
      <c r="N1124" s="10"/>
      <c r="O1124" s="10"/>
      <c r="P1124" s="10"/>
      <c r="Q1124" s="10"/>
      <c r="R1124" s="10"/>
      <c r="S1124" s="10"/>
      <c r="T1124" s="10"/>
      <c r="U1124" s="10"/>
      <c r="V1124" s="10"/>
      <c r="W1124" s="10"/>
      <c r="X1124" s="10"/>
      <c r="Y1124" s="10"/>
    </row>
    <row r="1125" spans="1:25" ht="16.5" customHeight="1" x14ac:dyDescent="0.2">
      <c r="A1125" s="413"/>
      <c r="B1125" s="417"/>
      <c r="C1125" s="414"/>
      <c r="D1125" s="148">
        <v>1.8</v>
      </c>
      <c r="E1125" s="148"/>
      <c r="F1125" s="148">
        <v>1.2</v>
      </c>
      <c r="G1125" s="148">
        <v>1</v>
      </c>
      <c r="H1125" s="148">
        <v>7</v>
      </c>
      <c r="I1125" s="147"/>
      <c r="J1125" s="170">
        <f t="shared" si="56"/>
        <v>15.120000000000001</v>
      </c>
      <c r="L1125" s="10"/>
      <c r="M1125" s="10"/>
      <c r="N1125" s="10"/>
      <c r="O1125" s="10"/>
      <c r="P1125" s="10"/>
      <c r="Q1125" s="10"/>
      <c r="R1125" s="10"/>
      <c r="S1125" s="10"/>
      <c r="T1125" s="10"/>
      <c r="U1125" s="10"/>
      <c r="V1125" s="10"/>
      <c r="W1125" s="10"/>
      <c r="X1125" s="10"/>
      <c r="Y1125" s="10"/>
    </row>
    <row r="1126" spans="1:25" ht="16.5" customHeight="1" x14ac:dyDescent="0.2">
      <c r="A1126" s="411"/>
      <c r="B1126" s="412"/>
      <c r="C1126" s="415"/>
      <c r="D1126" s="148">
        <v>1.2</v>
      </c>
      <c r="E1126" s="148"/>
      <c r="F1126" s="148">
        <v>0.6</v>
      </c>
      <c r="G1126" s="148">
        <v>1</v>
      </c>
      <c r="H1126" s="148">
        <v>7</v>
      </c>
      <c r="I1126" s="147"/>
      <c r="J1126" s="170">
        <f t="shared" si="56"/>
        <v>5.04</v>
      </c>
      <c r="L1126" s="10"/>
      <c r="M1126" s="10"/>
      <c r="N1126" s="10"/>
      <c r="O1126" s="10"/>
      <c r="P1126" s="10"/>
      <c r="Q1126" s="10"/>
      <c r="R1126" s="10"/>
      <c r="S1126" s="10"/>
      <c r="T1126" s="10"/>
      <c r="U1126" s="10"/>
      <c r="V1126" s="10"/>
      <c r="W1126" s="10"/>
      <c r="X1126" s="10"/>
      <c r="Y1126" s="10"/>
    </row>
    <row r="1127" spans="1:25" ht="16.5" customHeight="1" x14ac:dyDescent="0.2">
      <c r="A1127" s="409" t="s">
        <v>672</v>
      </c>
      <c r="B1127" s="410"/>
      <c r="C1127" s="416"/>
      <c r="D1127" s="148">
        <v>1.2</v>
      </c>
      <c r="E1127" s="148"/>
      <c r="F1127" s="148">
        <v>1.2</v>
      </c>
      <c r="G1127" s="148">
        <v>3</v>
      </c>
      <c r="H1127" s="148">
        <v>7</v>
      </c>
      <c r="I1127" s="147"/>
      <c r="J1127" s="170">
        <f t="shared" si="56"/>
        <v>30.240000000000002</v>
      </c>
      <c r="L1127" s="10"/>
      <c r="M1127" s="10"/>
      <c r="N1127" s="10"/>
      <c r="O1127" s="10"/>
      <c r="P1127" s="10"/>
      <c r="Q1127" s="10"/>
      <c r="R1127" s="10"/>
      <c r="S1127" s="10"/>
      <c r="T1127" s="10"/>
      <c r="U1127" s="10"/>
      <c r="V1127" s="10"/>
      <c r="W1127" s="10"/>
      <c r="X1127" s="10"/>
      <c r="Y1127" s="10"/>
    </row>
    <row r="1128" spans="1:25" ht="16.5" customHeight="1" x14ac:dyDescent="0.2">
      <c r="A1128" s="413"/>
      <c r="B1128" s="417"/>
      <c r="C1128" s="414"/>
      <c r="D1128" s="148">
        <v>1.8</v>
      </c>
      <c r="E1128" s="148"/>
      <c r="F1128" s="148">
        <v>1.2</v>
      </c>
      <c r="G1128" s="148">
        <v>1</v>
      </c>
      <c r="H1128" s="148">
        <v>7</v>
      </c>
      <c r="I1128" s="147"/>
      <c r="J1128" s="170">
        <f t="shared" si="56"/>
        <v>15.120000000000001</v>
      </c>
      <c r="L1128" s="10"/>
      <c r="M1128" s="10"/>
      <c r="N1128" s="10"/>
      <c r="O1128" s="10"/>
      <c r="P1128" s="10"/>
      <c r="Q1128" s="10"/>
      <c r="R1128" s="10"/>
      <c r="S1128" s="10"/>
      <c r="T1128" s="10"/>
      <c r="U1128" s="10"/>
      <c r="V1128" s="10"/>
      <c r="W1128" s="10"/>
      <c r="X1128" s="10"/>
      <c r="Y1128" s="10"/>
    </row>
    <row r="1129" spans="1:25" ht="16.5" customHeight="1" x14ac:dyDescent="0.2">
      <c r="A1129" s="411"/>
      <c r="B1129" s="412"/>
      <c r="C1129" s="415"/>
      <c r="D1129" s="148">
        <v>1.2</v>
      </c>
      <c r="E1129" s="148"/>
      <c r="F1129" s="148">
        <v>0.6</v>
      </c>
      <c r="G1129" s="148">
        <v>1</v>
      </c>
      <c r="H1129" s="148">
        <v>7</v>
      </c>
      <c r="I1129" s="147"/>
      <c r="J1129" s="170">
        <f t="shared" si="56"/>
        <v>5.04</v>
      </c>
      <c r="L1129" s="10"/>
      <c r="M1129" s="10"/>
      <c r="N1129" s="10"/>
      <c r="O1129" s="10"/>
      <c r="P1129" s="10"/>
      <c r="Q1129" s="10"/>
      <c r="R1129" s="10"/>
      <c r="S1129" s="10"/>
      <c r="T1129" s="10"/>
      <c r="U1129" s="10"/>
      <c r="V1129" s="10"/>
      <c r="W1129" s="10"/>
      <c r="X1129" s="10"/>
      <c r="Y1129" s="10"/>
    </row>
    <row r="1130" spans="1:25" ht="16.5" customHeight="1" x14ac:dyDescent="0.2">
      <c r="A1130" s="409" t="s">
        <v>673</v>
      </c>
      <c r="B1130" s="410"/>
      <c r="C1130" s="416"/>
      <c r="D1130" s="148">
        <v>1.2</v>
      </c>
      <c r="E1130" s="148"/>
      <c r="F1130" s="148">
        <v>1.2</v>
      </c>
      <c r="G1130" s="148">
        <v>3</v>
      </c>
      <c r="H1130" s="148">
        <v>7</v>
      </c>
      <c r="I1130" s="147"/>
      <c r="J1130" s="170">
        <f t="shared" si="56"/>
        <v>30.240000000000002</v>
      </c>
      <c r="L1130" s="10"/>
      <c r="M1130" s="10"/>
      <c r="N1130" s="10"/>
      <c r="O1130" s="10"/>
      <c r="P1130" s="10"/>
      <c r="Q1130" s="10"/>
      <c r="R1130" s="10"/>
      <c r="S1130" s="10"/>
      <c r="T1130" s="10"/>
      <c r="U1130" s="10"/>
      <c r="V1130" s="10"/>
      <c r="W1130" s="10"/>
      <c r="X1130" s="10"/>
      <c r="Y1130" s="10"/>
    </row>
    <row r="1131" spans="1:25" ht="16.5" customHeight="1" x14ac:dyDescent="0.2">
      <c r="A1131" s="413"/>
      <c r="B1131" s="417"/>
      <c r="C1131" s="414"/>
      <c r="D1131" s="148">
        <v>1.8</v>
      </c>
      <c r="E1131" s="148"/>
      <c r="F1131" s="148">
        <v>1.2</v>
      </c>
      <c r="G1131" s="148">
        <v>1</v>
      </c>
      <c r="H1131" s="148">
        <v>7</v>
      </c>
      <c r="I1131" s="147"/>
      <c r="J1131" s="170">
        <f t="shared" si="56"/>
        <v>15.120000000000001</v>
      </c>
      <c r="L1131" s="10"/>
      <c r="M1131" s="10"/>
      <c r="N1131" s="10"/>
      <c r="O1131" s="10"/>
      <c r="P1131" s="10"/>
      <c r="Q1131" s="10"/>
      <c r="R1131" s="10"/>
      <c r="S1131" s="10"/>
      <c r="T1131" s="10"/>
      <c r="U1131" s="10"/>
      <c r="V1131" s="10"/>
      <c r="W1131" s="10"/>
      <c r="X1131" s="10"/>
      <c r="Y1131" s="10"/>
    </row>
    <row r="1132" spans="1:25" ht="16.5" customHeight="1" x14ac:dyDescent="0.2">
      <c r="A1132" s="411"/>
      <c r="B1132" s="412"/>
      <c r="C1132" s="415"/>
      <c r="D1132" s="148">
        <v>1.2</v>
      </c>
      <c r="E1132" s="148"/>
      <c r="F1132" s="148">
        <v>0.6</v>
      </c>
      <c r="G1132" s="148">
        <v>1</v>
      </c>
      <c r="H1132" s="148">
        <v>7</v>
      </c>
      <c r="I1132" s="147"/>
      <c r="J1132" s="170">
        <f t="shared" si="56"/>
        <v>5.04</v>
      </c>
      <c r="L1132" s="10"/>
      <c r="M1132" s="10"/>
      <c r="N1132" s="10"/>
      <c r="O1132" s="10"/>
      <c r="P1132" s="10"/>
      <c r="Q1132" s="10"/>
      <c r="R1132" s="10"/>
      <c r="S1132" s="10"/>
      <c r="T1132" s="10"/>
      <c r="U1132" s="10"/>
      <c r="V1132" s="10"/>
      <c r="W1132" s="10"/>
      <c r="X1132" s="10"/>
      <c r="Y1132" s="10"/>
    </row>
    <row r="1133" spans="1:25" ht="16.5" customHeight="1" x14ac:dyDescent="0.2">
      <c r="A1133" s="409" t="s">
        <v>674</v>
      </c>
      <c r="B1133" s="410"/>
      <c r="C1133" s="416"/>
      <c r="D1133" s="148">
        <v>1.2</v>
      </c>
      <c r="E1133" s="148"/>
      <c r="F1133" s="148">
        <v>1.2</v>
      </c>
      <c r="G1133" s="148">
        <v>3</v>
      </c>
      <c r="H1133" s="148">
        <v>7</v>
      </c>
      <c r="I1133" s="147"/>
      <c r="J1133" s="170">
        <f t="shared" si="56"/>
        <v>30.240000000000002</v>
      </c>
      <c r="L1133" s="10"/>
      <c r="M1133" s="10"/>
      <c r="N1133" s="10"/>
      <c r="O1133" s="10"/>
      <c r="P1133" s="10"/>
      <c r="Q1133" s="10"/>
      <c r="R1133" s="10"/>
      <c r="S1133" s="10"/>
      <c r="T1133" s="10"/>
      <c r="U1133" s="10"/>
      <c r="V1133" s="10"/>
      <c r="W1133" s="10"/>
      <c r="X1133" s="10"/>
      <c r="Y1133" s="10"/>
    </row>
    <row r="1134" spans="1:25" ht="16.5" customHeight="1" x14ac:dyDescent="0.2">
      <c r="A1134" s="413"/>
      <c r="B1134" s="417"/>
      <c r="C1134" s="414"/>
      <c r="D1134" s="148">
        <v>1.8</v>
      </c>
      <c r="E1134" s="148"/>
      <c r="F1134" s="148">
        <v>1.2</v>
      </c>
      <c r="G1134" s="148">
        <v>1</v>
      </c>
      <c r="H1134" s="148">
        <v>7</v>
      </c>
      <c r="I1134" s="147"/>
      <c r="J1134" s="170">
        <f t="shared" si="56"/>
        <v>15.120000000000001</v>
      </c>
      <c r="L1134" s="10"/>
      <c r="M1134" s="10"/>
      <c r="N1134" s="10"/>
      <c r="O1134" s="10"/>
      <c r="P1134" s="10"/>
      <c r="Q1134" s="10"/>
      <c r="R1134" s="10"/>
      <c r="S1134" s="10"/>
      <c r="T1134" s="10"/>
      <c r="U1134" s="10"/>
      <c r="V1134" s="10"/>
      <c r="W1134" s="10"/>
      <c r="X1134" s="10"/>
      <c r="Y1134" s="10"/>
    </row>
    <row r="1135" spans="1:25" ht="16.5" customHeight="1" x14ac:dyDescent="0.2">
      <c r="A1135" s="411"/>
      <c r="B1135" s="412"/>
      <c r="C1135" s="415"/>
      <c r="D1135" s="148">
        <v>1.2</v>
      </c>
      <c r="E1135" s="148"/>
      <c r="F1135" s="148">
        <v>0.6</v>
      </c>
      <c r="G1135" s="148">
        <v>1</v>
      </c>
      <c r="H1135" s="148">
        <v>7</v>
      </c>
      <c r="I1135" s="147"/>
      <c r="J1135" s="170">
        <f t="shared" si="56"/>
        <v>5.04</v>
      </c>
      <c r="L1135" s="10"/>
      <c r="M1135" s="10"/>
      <c r="N1135" s="10"/>
      <c r="O1135" s="10"/>
      <c r="P1135" s="10"/>
      <c r="Q1135" s="10"/>
      <c r="R1135" s="10"/>
      <c r="S1135" s="10"/>
      <c r="T1135" s="10"/>
      <c r="U1135" s="10"/>
      <c r="V1135" s="10"/>
      <c r="W1135" s="10"/>
      <c r="X1135" s="10"/>
      <c r="Y1135" s="10"/>
    </row>
    <row r="1136" spans="1:25" ht="16.5" customHeight="1" x14ac:dyDescent="0.2">
      <c r="A1136" s="409" t="s">
        <v>675</v>
      </c>
      <c r="B1136" s="410"/>
      <c r="C1136" s="416"/>
      <c r="D1136" s="148">
        <v>1.2</v>
      </c>
      <c r="E1136" s="148"/>
      <c r="F1136" s="148">
        <v>1.2</v>
      </c>
      <c r="G1136" s="148">
        <v>3</v>
      </c>
      <c r="H1136" s="148">
        <v>7</v>
      </c>
      <c r="I1136" s="147"/>
      <c r="J1136" s="170">
        <f t="shared" si="56"/>
        <v>30.240000000000002</v>
      </c>
      <c r="L1136" s="10"/>
      <c r="M1136" s="10"/>
      <c r="N1136" s="10"/>
      <c r="O1136" s="10"/>
      <c r="P1136" s="10"/>
      <c r="Q1136" s="10"/>
      <c r="R1136" s="10"/>
      <c r="S1136" s="10"/>
      <c r="T1136" s="10"/>
      <c r="U1136" s="10"/>
      <c r="V1136" s="10"/>
      <c r="W1136" s="10"/>
      <c r="X1136" s="10"/>
      <c r="Y1136" s="10"/>
    </row>
    <row r="1137" spans="1:25" ht="16.5" customHeight="1" x14ac:dyDescent="0.2">
      <c r="A1137" s="413"/>
      <c r="B1137" s="417"/>
      <c r="C1137" s="414"/>
      <c r="D1137" s="148">
        <v>1.8</v>
      </c>
      <c r="E1137" s="148"/>
      <c r="F1137" s="148">
        <v>1.2</v>
      </c>
      <c r="G1137" s="148">
        <v>1</v>
      </c>
      <c r="H1137" s="148">
        <v>7</v>
      </c>
      <c r="I1137" s="147"/>
      <c r="J1137" s="170">
        <f t="shared" si="56"/>
        <v>15.120000000000001</v>
      </c>
      <c r="L1137" s="10"/>
      <c r="M1137" s="10"/>
      <c r="N1137" s="10"/>
      <c r="O1137" s="10"/>
      <c r="P1137" s="10"/>
      <c r="Q1137" s="10"/>
      <c r="R1137" s="10"/>
      <c r="S1137" s="10"/>
      <c r="T1137" s="10"/>
      <c r="U1137" s="10"/>
      <c r="V1137" s="10"/>
      <c r="W1137" s="10"/>
      <c r="X1137" s="10"/>
      <c r="Y1137" s="10"/>
    </row>
    <row r="1138" spans="1:25" ht="16.5" customHeight="1" x14ac:dyDescent="0.2">
      <c r="A1138" s="411"/>
      <c r="B1138" s="412"/>
      <c r="C1138" s="415"/>
      <c r="D1138" s="148">
        <v>1.2</v>
      </c>
      <c r="E1138" s="148"/>
      <c r="F1138" s="148">
        <v>0.6</v>
      </c>
      <c r="G1138" s="148">
        <v>1</v>
      </c>
      <c r="H1138" s="148">
        <v>7</v>
      </c>
      <c r="I1138" s="147"/>
      <c r="J1138" s="170">
        <f t="shared" si="56"/>
        <v>5.04</v>
      </c>
      <c r="L1138" s="10"/>
      <c r="M1138" s="10"/>
      <c r="N1138" s="10"/>
      <c r="O1138" s="10"/>
      <c r="P1138" s="10"/>
      <c r="Q1138" s="10"/>
      <c r="R1138" s="10"/>
      <c r="S1138" s="10"/>
      <c r="T1138" s="10"/>
      <c r="U1138" s="10"/>
      <c r="V1138" s="10"/>
      <c r="W1138" s="10"/>
      <c r="X1138" s="10"/>
      <c r="Y1138" s="10"/>
    </row>
    <row r="1139" spans="1:25" ht="16.5" customHeight="1" x14ac:dyDescent="0.2">
      <c r="A1139" s="409" t="s">
        <v>676</v>
      </c>
      <c r="B1139" s="410"/>
      <c r="C1139" s="416"/>
      <c r="D1139" s="148">
        <v>1.2</v>
      </c>
      <c r="E1139" s="148"/>
      <c r="F1139" s="148">
        <v>1.2</v>
      </c>
      <c r="G1139" s="148">
        <v>3</v>
      </c>
      <c r="H1139" s="148">
        <v>7</v>
      </c>
      <c r="I1139" s="147"/>
      <c r="J1139" s="170">
        <f t="shared" si="56"/>
        <v>30.240000000000002</v>
      </c>
      <c r="L1139" s="10"/>
      <c r="M1139" s="10"/>
      <c r="N1139" s="10"/>
      <c r="O1139" s="10"/>
      <c r="P1139" s="10"/>
      <c r="Q1139" s="10"/>
      <c r="R1139" s="10"/>
      <c r="S1139" s="10"/>
      <c r="T1139" s="10"/>
      <c r="U1139" s="10"/>
      <c r="V1139" s="10"/>
      <c r="W1139" s="10"/>
      <c r="X1139" s="10"/>
      <c r="Y1139" s="10"/>
    </row>
    <row r="1140" spans="1:25" ht="16.5" customHeight="1" x14ac:dyDescent="0.2">
      <c r="A1140" s="413"/>
      <c r="B1140" s="417"/>
      <c r="C1140" s="414"/>
      <c r="D1140" s="148">
        <v>1.8</v>
      </c>
      <c r="E1140" s="148"/>
      <c r="F1140" s="148">
        <v>1.2</v>
      </c>
      <c r="G1140" s="148">
        <v>1</v>
      </c>
      <c r="H1140" s="148">
        <v>7</v>
      </c>
      <c r="I1140" s="147"/>
      <c r="J1140" s="170">
        <f t="shared" si="56"/>
        <v>15.120000000000001</v>
      </c>
      <c r="L1140" s="10"/>
      <c r="M1140" s="10"/>
      <c r="N1140" s="10"/>
      <c r="O1140" s="10"/>
      <c r="P1140" s="10"/>
      <c r="Q1140" s="10"/>
      <c r="R1140" s="10"/>
      <c r="S1140" s="10"/>
      <c r="T1140" s="10"/>
      <c r="U1140" s="10"/>
      <c r="V1140" s="10"/>
      <c r="W1140" s="10"/>
      <c r="X1140" s="10"/>
      <c r="Y1140" s="10"/>
    </row>
    <row r="1141" spans="1:25" ht="16.5" customHeight="1" x14ac:dyDescent="0.2">
      <c r="A1141" s="411"/>
      <c r="B1141" s="412"/>
      <c r="C1141" s="415"/>
      <c r="D1141" s="148">
        <v>1.2</v>
      </c>
      <c r="E1141" s="148"/>
      <c r="F1141" s="148">
        <v>0.6</v>
      </c>
      <c r="G1141" s="148">
        <v>1</v>
      </c>
      <c r="H1141" s="148">
        <v>7</v>
      </c>
      <c r="I1141" s="147"/>
      <c r="J1141" s="170">
        <f t="shared" si="56"/>
        <v>5.04</v>
      </c>
      <c r="L1141" s="10"/>
      <c r="M1141" s="10"/>
      <c r="N1141" s="10"/>
      <c r="O1141" s="10"/>
      <c r="P1141" s="10"/>
      <c r="Q1141" s="10"/>
      <c r="R1141" s="10"/>
      <c r="S1141" s="10"/>
      <c r="T1141" s="10"/>
      <c r="U1141" s="10"/>
      <c r="V1141" s="10"/>
      <c r="W1141" s="10"/>
      <c r="X1141" s="10"/>
      <c r="Y1141" s="10"/>
    </row>
    <row r="1142" spans="1:25" ht="16.5" customHeight="1" x14ac:dyDescent="0.2">
      <c r="A1142" s="409" t="s">
        <v>677</v>
      </c>
      <c r="B1142" s="410"/>
      <c r="C1142" s="416"/>
      <c r="D1142" s="148">
        <v>1.2</v>
      </c>
      <c r="E1142" s="148"/>
      <c r="F1142" s="148">
        <v>1.2</v>
      </c>
      <c r="G1142" s="148">
        <v>3</v>
      </c>
      <c r="H1142" s="148">
        <v>7</v>
      </c>
      <c r="I1142" s="147"/>
      <c r="J1142" s="170">
        <f t="shared" si="56"/>
        <v>30.240000000000002</v>
      </c>
      <c r="L1142" s="10"/>
      <c r="M1142" s="10"/>
      <c r="N1142" s="10"/>
      <c r="O1142" s="10"/>
      <c r="P1142" s="10"/>
      <c r="Q1142" s="10"/>
      <c r="R1142" s="10"/>
      <c r="S1142" s="10"/>
      <c r="T1142" s="10"/>
      <c r="U1142" s="10"/>
      <c r="V1142" s="10"/>
      <c r="W1142" s="10"/>
      <c r="X1142" s="10"/>
      <c r="Y1142" s="10"/>
    </row>
    <row r="1143" spans="1:25" ht="16.5" customHeight="1" x14ac:dyDescent="0.2">
      <c r="A1143" s="413"/>
      <c r="B1143" s="417"/>
      <c r="C1143" s="414"/>
      <c r="D1143" s="148">
        <v>1.8</v>
      </c>
      <c r="E1143" s="148"/>
      <c r="F1143" s="148">
        <v>1.2</v>
      </c>
      <c r="G1143" s="148">
        <v>1</v>
      </c>
      <c r="H1143" s="148">
        <v>7</v>
      </c>
      <c r="I1143" s="147"/>
      <c r="J1143" s="170">
        <f t="shared" si="56"/>
        <v>15.120000000000001</v>
      </c>
      <c r="L1143" s="10"/>
      <c r="M1143" s="10"/>
      <c r="N1143" s="10"/>
      <c r="O1143" s="10"/>
      <c r="P1143" s="10"/>
      <c r="Q1143" s="10"/>
      <c r="R1143" s="10"/>
      <c r="S1143" s="10"/>
      <c r="T1143" s="10"/>
      <c r="U1143" s="10"/>
      <c r="V1143" s="10"/>
      <c r="W1143" s="10"/>
      <c r="X1143" s="10"/>
      <c r="Y1143" s="10"/>
    </row>
    <row r="1144" spans="1:25" ht="16.5" customHeight="1" x14ac:dyDescent="0.2">
      <c r="A1144" s="411"/>
      <c r="B1144" s="412"/>
      <c r="C1144" s="415"/>
      <c r="D1144" s="148">
        <v>1.2</v>
      </c>
      <c r="E1144" s="148"/>
      <c r="F1144" s="148">
        <v>0.6</v>
      </c>
      <c r="G1144" s="148">
        <v>1</v>
      </c>
      <c r="H1144" s="148">
        <v>7</v>
      </c>
      <c r="I1144" s="147"/>
      <c r="J1144" s="170">
        <f t="shared" si="56"/>
        <v>5.04</v>
      </c>
      <c r="L1144" s="10"/>
      <c r="M1144" s="10"/>
      <c r="N1144" s="10"/>
      <c r="O1144" s="10"/>
      <c r="P1144" s="10"/>
      <c r="Q1144" s="10"/>
      <c r="R1144" s="10"/>
      <c r="S1144" s="10"/>
      <c r="T1144" s="10"/>
      <c r="U1144" s="10"/>
      <c r="V1144" s="10"/>
      <c r="W1144" s="10"/>
      <c r="X1144" s="10"/>
      <c r="Y1144" s="10"/>
    </row>
    <row r="1145" spans="1:25" ht="16.5" customHeight="1" x14ac:dyDescent="0.2">
      <c r="A1145" s="409" t="s">
        <v>678</v>
      </c>
      <c r="B1145" s="410"/>
      <c r="C1145" s="416"/>
      <c r="D1145" s="148">
        <v>1.2</v>
      </c>
      <c r="E1145" s="148"/>
      <c r="F1145" s="148">
        <v>1.2</v>
      </c>
      <c r="G1145" s="148">
        <v>3</v>
      </c>
      <c r="H1145" s="148">
        <v>7</v>
      </c>
      <c r="I1145" s="147"/>
      <c r="J1145" s="170">
        <f t="shared" si="56"/>
        <v>30.240000000000002</v>
      </c>
      <c r="L1145" s="10"/>
      <c r="M1145" s="10"/>
      <c r="N1145" s="10"/>
      <c r="O1145" s="10"/>
      <c r="P1145" s="10"/>
      <c r="Q1145" s="10"/>
      <c r="R1145" s="10"/>
      <c r="S1145" s="10"/>
      <c r="T1145" s="10"/>
      <c r="U1145" s="10"/>
      <c r="V1145" s="10"/>
      <c r="W1145" s="10"/>
      <c r="X1145" s="10"/>
      <c r="Y1145" s="10"/>
    </row>
    <row r="1146" spans="1:25" ht="16.5" customHeight="1" x14ac:dyDescent="0.2">
      <c r="A1146" s="413"/>
      <c r="B1146" s="417"/>
      <c r="C1146" s="414"/>
      <c r="D1146" s="148">
        <v>1.8</v>
      </c>
      <c r="E1146" s="148"/>
      <c r="F1146" s="148">
        <v>1.2</v>
      </c>
      <c r="G1146" s="148">
        <v>1</v>
      </c>
      <c r="H1146" s="148">
        <v>7</v>
      </c>
      <c r="I1146" s="147"/>
      <c r="J1146" s="170">
        <f t="shared" si="56"/>
        <v>15.120000000000001</v>
      </c>
      <c r="L1146" s="10"/>
      <c r="M1146" s="10"/>
      <c r="N1146" s="10"/>
      <c r="O1146" s="10"/>
      <c r="P1146" s="10"/>
      <c r="Q1146" s="10"/>
      <c r="R1146" s="10"/>
      <c r="S1146" s="10"/>
      <c r="T1146" s="10"/>
      <c r="U1146" s="10"/>
      <c r="V1146" s="10"/>
      <c r="W1146" s="10"/>
      <c r="X1146" s="10"/>
      <c r="Y1146" s="10"/>
    </row>
    <row r="1147" spans="1:25" ht="16.5" customHeight="1" x14ac:dyDescent="0.2">
      <c r="A1147" s="411"/>
      <c r="B1147" s="412"/>
      <c r="C1147" s="415"/>
      <c r="D1147" s="148">
        <v>1.2</v>
      </c>
      <c r="E1147" s="148"/>
      <c r="F1147" s="148">
        <v>0.6</v>
      </c>
      <c r="G1147" s="148">
        <v>1</v>
      </c>
      <c r="H1147" s="148">
        <v>7</v>
      </c>
      <c r="I1147" s="147"/>
      <c r="J1147" s="170">
        <f t="shared" si="56"/>
        <v>5.04</v>
      </c>
      <c r="L1147" s="10"/>
      <c r="M1147" s="10"/>
      <c r="N1147" s="10"/>
      <c r="O1147" s="10"/>
      <c r="P1147" s="10"/>
      <c r="Q1147" s="10"/>
      <c r="R1147" s="10"/>
      <c r="S1147" s="10"/>
      <c r="T1147" s="10"/>
      <c r="U1147" s="10"/>
      <c r="V1147" s="10"/>
      <c r="W1147" s="10"/>
      <c r="X1147" s="10"/>
      <c r="Y1147" s="10"/>
    </row>
    <row r="1148" spans="1:25" ht="16.5" customHeight="1" x14ac:dyDescent="0.2">
      <c r="A1148" s="409" t="s">
        <v>679</v>
      </c>
      <c r="B1148" s="410"/>
      <c r="C1148" s="416"/>
      <c r="D1148" s="148">
        <v>1.2</v>
      </c>
      <c r="E1148" s="148"/>
      <c r="F1148" s="148">
        <v>1.2</v>
      </c>
      <c r="G1148" s="148">
        <v>3</v>
      </c>
      <c r="H1148" s="148">
        <v>7</v>
      </c>
      <c r="I1148" s="147"/>
      <c r="J1148" s="170">
        <f t="shared" si="56"/>
        <v>30.240000000000002</v>
      </c>
      <c r="L1148" s="10"/>
      <c r="M1148" s="10"/>
      <c r="N1148" s="10"/>
      <c r="O1148" s="10"/>
      <c r="P1148" s="10"/>
      <c r="Q1148" s="10"/>
      <c r="R1148" s="10"/>
      <c r="S1148" s="10"/>
      <c r="T1148" s="10"/>
      <c r="U1148" s="10"/>
      <c r="V1148" s="10"/>
      <c r="W1148" s="10"/>
      <c r="X1148" s="10"/>
      <c r="Y1148" s="10"/>
    </row>
    <row r="1149" spans="1:25" ht="16.5" customHeight="1" x14ac:dyDescent="0.2">
      <c r="A1149" s="413"/>
      <c r="B1149" s="417"/>
      <c r="C1149" s="414"/>
      <c r="D1149" s="148">
        <v>1.8</v>
      </c>
      <c r="E1149" s="148"/>
      <c r="F1149" s="148">
        <v>1.2</v>
      </c>
      <c r="G1149" s="148">
        <v>1</v>
      </c>
      <c r="H1149" s="148">
        <v>7</v>
      </c>
      <c r="I1149" s="147"/>
      <c r="J1149" s="170">
        <f t="shared" si="56"/>
        <v>15.120000000000001</v>
      </c>
      <c r="L1149" s="10"/>
      <c r="M1149" s="10"/>
      <c r="N1149" s="10"/>
      <c r="O1149" s="10"/>
      <c r="P1149" s="10"/>
      <c r="Q1149" s="10"/>
      <c r="R1149" s="10"/>
      <c r="S1149" s="10"/>
      <c r="T1149" s="10"/>
      <c r="U1149" s="10"/>
      <c r="V1149" s="10"/>
      <c r="W1149" s="10"/>
      <c r="X1149" s="10"/>
      <c r="Y1149" s="10"/>
    </row>
    <row r="1150" spans="1:25" ht="16.5" customHeight="1" x14ac:dyDescent="0.2">
      <c r="A1150" s="411"/>
      <c r="B1150" s="412"/>
      <c r="C1150" s="415"/>
      <c r="D1150" s="148">
        <v>1.2</v>
      </c>
      <c r="E1150" s="148"/>
      <c r="F1150" s="148">
        <v>0.6</v>
      </c>
      <c r="G1150" s="148">
        <v>1</v>
      </c>
      <c r="H1150" s="148">
        <v>7</v>
      </c>
      <c r="I1150" s="147"/>
      <c r="J1150" s="170">
        <f t="shared" si="56"/>
        <v>5.04</v>
      </c>
      <c r="L1150" s="10"/>
      <c r="M1150" s="10"/>
      <c r="N1150" s="10"/>
      <c r="O1150" s="10"/>
      <c r="P1150" s="10"/>
      <c r="Q1150" s="10"/>
      <c r="R1150" s="10"/>
      <c r="S1150" s="10"/>
      <c r="T1150" s="10"/>
      <c r="U1150" s="10"/>
      <c r="V1150" s="10"/>
      <c r="W1150" s="10"/>
      <c r="X1150" s="10"/>
      <c r="Y1150" s="10"/>
    </row>
    <row r="1151" spans="1:25" ht="16.5" customHeight="1" x14ac:dyDescent="0.2">
      <c r="A1151" s="409" t="s">
        <v>769</v>
      </c>
      <c r="B1151" s="410"/>
      <c r="C1151" s="416"/>
      <c r="D1151" s="148">
        <v>1.2</v>
      </c>
      <c r="E1151" s="148"/>
      <c r="F1151" s="148">
        <v>1.2</v>
      </c>
      <c r="G1151" s="148">
        <v>3</v>
      </c>
      <c r="H1151" s="148">
        <v>7</v>
      </c>
      <c r="I1151" s="147"/>
      <c r="J1151" s="170">
        <f t="shared" si="56"/>
        <v>30.240000000000002</v>
      </c>
      <c r="L1151" s="10"/>
      <c r="M1151" s="10"/>
      <c r="N1151" s="10"/>
      <c r="O1151" s="10"/>
      <c r="P1151" s="10"/>
      <c r="Q1151" s="10"/>
      <c r="R1151" s="10"/>
      <c r="S1151" s="10"/>
      <c r="T1151" s="10"/>
      <c r="U1151" s="10"/>
      <c r="V1151" s="10"/>
      <c r="W1151" s="10"/>
      <c r="X1151" s="10"/>
      <c r="Y1151" s="10"/>
    </row>
    <row r="1152" spans="1:25" ht="16.5" customHeight="1" x14ac:dyDescent="0.2">
      <c r="A1152" s="413"/>
      <c r="B1152" s="417"/>
      <c r="C1152" s="414"/>
      <c r="D1152" s="148">
        <v>1.8</v>
      </c>
      <c r="E1152" s="148"/>
      <c r="F1152" s="148">
        <v>1.2</v>
      </c>
      <c r="G1152" s="148">
        <v>1</v>
      </c>
      <c r="H1152" s="148">
        <v>7</v>
      </c>
      <c r="I1152" s="147"/>
      <c r="J1152" s="170">
        <f t="shared" si="56"/>
        <v>15.120000000000001</v>
      </c>
      <c r="L1152" s="10"/>
      <c r="M1152" s="10"/>
      <c r="N1152" s="10"/>
      <c r="O1152" s="10"/>
      <c r="P1152" s="10"/>
      <c r="Q1152" s="10"/>
      <c r="R1152" s="10"/>
      <c r="S1152" s="10"/>
      <c r="T1152" s="10"/>
      <c r="U1152" s="10"/>
      <c r="V1152" s="10"/>
      <c r="W1152" s="10"/>
      <c r="X1152" s="10"/>
      <c r="Y1152" s="10"/>
    </row>
    <row r="1153" spans="1:25" ht="16.5" customHeight="1" x14ac:dyDescent="0.2">
      <c r="A1153" s="411"/>
      <c r="B1153" s="412"/>
      <c r="C1153" s="415"/>
      <c r="D1153" s="148">
        <v>1.2</v>
      </c>
      <c r="E1153" s="148"/>
      <c r="F1153" s="148">
        <v>0.6</v>
      </c>
      <c r="G1153" s="148">
        <v>1</v>
      </c>
      <c r="H1153" s="148">
        <v>7</v>
      </c>
      <c r="I1153" s="147"/>
      <c r="J1153" s="170">
        <f t="shared" si="56"/>
        <v>5.04</v>
      </c>
      <c r="L1153" s="10"/>
      <c r="M1153" s="10"/>
      <c r="N1153" s="10"/>
      <c r="O1153" s="10"/>
      <c r="P1153" s="10"/>
      <c r="Q1153" s="10"/>
      <c r="R1153" s="10"/>
      <c r="S1153" s="10"/>
      <c r="T1153" s="10"/>
      <c r="U1153" s="10"/>
      <c r="V1153" s="10"/>
      <c r="W1153" s="10"/>
      <c r="X1153" s="10"/>
      <c r="Y1153" s="10"/>
    </row>
    <row r="1154" spans="1:25" ht="16.5" customHeight="1" x14ac:dyDescent="0.2">
      <c r="A1154" s="409" t="s">
        <v>681</v>
      </c>
      <c r="B1154" s="410"/>
      <c r="C1154" s="416"/>
      <c r="D1154" s="148">
        <v>1.2</v>
      </c>
      <c r="E1154" s="148"/>
      <c r="F1154" s="148">
        <v>1.2</v>
      </c>
      <c r="G1154" s="148">
        <v>3</v>
      </c>
      <c r="H1154" s="148">
        <v>7</v>
      </c>
      <c r="I1154" s="147"/>
      <c r="J1154" s="170">
        <f t="shared" si="56"/>
        <v>30.240000000000002</v>
      </c>
      <c r="L1154" s="10"/>
      <c r="M1154" s="10"/>
      <c r="N1154" s="10"/>
      <c r="O1154" s="10"/>
      <c r="P1154" s="10"/>
      <c r="Q1154" s="10"/>
      <c r="R1154" s="10"/>
      <c r="S1154" s="10"/>
      <c r="T1154" s="10"/>
      <c r="U1154" s="10"/>
      <c r="V1154" s="10"/>
      <c r="W1154" s="10"/>
      <c r="X1154" s="10"/>
      <c r="Y1154" s="10"/>
    </row>
    <row r="1155" spans="1:25" ht="16.5" customHeight="1" x14ac:dyDescent="0.2">
      <c r="A1155" s="413"/>
      <c r="B1155" s="417"/>
      <c r="C1155" s="414"/>
      <c r="D1155" s="148">
        <v>1.8</v>
      </c>
      <c r="E1155" s="148"/>
      <c r="F1155" s="148">
        <v>1.2</v>
      </c>
      <c r="G1155" s="148">
        <v>1</v>
      </c>
      <c r="H1155" s="148">
        <v>7</v>
      </c>
      <c r="I1155" s="147"/>
      <c r="J1155" s="170">
        <f t="shared" si="56"/>
        <v>15.120000000000001</v>
      </c>
      <c r="L1155" s="10"/>
      <c r="M1155" s="10"/>
      <c r="N1155" s="10"/>
      <c r="O1155" s="10"/>
      <c r="P1155" s="10"/>
      <c r="Q1155" s="10"/>
      <c r="R1155" s="10"/>
      <c r="S1155" s="10"/>
      <c r="T1155" s="10"/>
      <c r="U1155" s="10"/>
      <c r="V1155" s="10"/>
      <c r="W1155" s="10"/>
      <c r="X1155" s="10"/>
      <c r="Y1155" s="10"/>
    </row>
    <row r="1156" spans="1:25" ht="16.5" customHeight="1" x14ac:dyDescent="0.2">
      <c r="A1156" s="411"/>
      <c r="B1156" s="412"/>
      <c r="C1156" s="415"/>
      <c r="D1156" s="148">
        <v>1.2</v>
      </c>
      <c r="E1156" s="148"/>
      <c r="F1156" s="148">
        <v>0.6</v>
      </c>
      <c r="G1156" s="148">
        <v>1</v>
      </c>
      <c r="H1156" s="148">
        <v>7</v>
      </c>
      <c r="I1156" s="147"/>
      <c r="J1156" s="170">
        <f t="shared" si="56"/>
        <v>5.04</v>
      </c>
      <c r="L1156" s="10"/>
      <c r="M1156" s="10"/>
      <c r="N1156" s="10"/>
      <c r="O1156" s="10"/>
      <c r="P1156" s="10"/>
      <c r="Q1156" s="10"/>
      <c r="R1156" s="10"/>
      <c r="S1156" s="10"/>
      <c r="T1156" s="10"/>
      <c r="U1156" s="10"/>
      <c r="V1156" s="10"/>
      <c r="W1156" s="10"/>
      <c r="X1156" s="10"/>
      <c r="Y1156" s="10"/>
    </row>
    <row r="1157" spans="1:25" ht="16.5" customHeight="1" x14ac:dyDescent="0.2">
      <c r="A1157" s="409" t="s">
        <v>682</v>
      </c>
      <c r="B1157" s="410"/>
      <c r="C1157" s="416"/>
      <c r="D1157" s="148">
        <v>1.2</v>
      </c>
      <c r="E1157" s="148"/>
      <c r="F1157" s="148">
        <v>1.2</v>
      </c>
      <c r="G1157" s="148">
        <v>3</v>
      </c>
      <c r="H1157" s="148">
        <v>7</v>
      </c>
      <c r="I1157" s="147"/>
      <c r="J1157" s="170">
        <f t="shared" si="56"/>
        <v>30.240000000000002</v>
      </c>
      <c r="L1157" s="10"/>
      <c r="M1157" s="10"/>
      <c r="N1157" s="10"/>
      <c r="O1157" s="10"/>
      <c r="P1157" s="10"/>
      <c r="Q1157" s="10"/>
      <c r="R1157" s="10"/>
      <c r="S1157" s="10"/>
      <c r="T1157" s="10"/>
      <c r="U1157" s="10"/>
      <c r="V1157" s="10"/>
      <c r="W1157" s="10"/>
      <c r="X1157" s="10"/>
      <c r="Y1157" s="10"/>
    </row>
    <row r="1158" spans="1:25" ht="16.5" customHeight="1" x14ac:dyDescent="0.2">
      <c r="A1158" s="413"/>
      <c r="B1158" s="417"/>
      <c r="C1158" s="414"/>
      <c r="D1158" s="148">
        <v>1.8</v>
      </c>
      <c r="E1158" s="148"/>
      <c r="F1158" s="148">
        <v>1.2</v>
      </c>
      <c r="G1158" s="148">
        <v>1</v>
      </c>
      <c r="H1158" s="148">
        <v>7</v>
      </c>
      <c r="I1158" s="147"/>
      <c r="J1158" s="170">
        <f t="shared" si="56"/>
        <v>15.120000000000001</v>
      </c>
      <c r="L1158" s="10"/>
      <c r="M1158" s="10"/>
      <c r="N1158" s="10"/>
      <c r="O1158" s="10"/>
      <c r="P1158" s="10"/>
      <c r="Q1158" s="10"/>
      <c r="R1158" s="10"/>
      <c r="S1158" s="10"/>
      <c r="T1158" s="10"/>
      <c r="U1158" s="10"/>
      <c r="V1158" s="10"/>
      <c r="W1158" s="10"/>
      <c r="X1158" s="10"/>
      <c r="Y1158" s="10"/>
    </row>
    <row r="1159" spans="1:25" ht="16.5" customHeight="1" x14ac:dyDescent="0.2">
      <c r="A1159" s="411"/>
      <c r="B1159" s="412"/>
      <c r="C1159" s="415"/>
      <c r="D1159" s="148">
        <v>1.2</v>
      </c>
      <c r="E1159" s="148"/>
      <c r="F1159" s="148">
        <v>0.6</v>
      </c>
      <c r="G1159" s="148">
        <v>1</v>
      </c>
      <c r="H1159" s="148">
        <v>7</v>
      </c>
      <c r="I1159" s="147"/>
      <c r="J1159" s="170">
        <f t="shared" si="56"/>
        <v>5.04</v>
      </c>
      <c r="L1159" s="10"/>
      <c r="M1159" s="10"/>
      <c r="N1159" s="10"/>
      <c r="O1159" s="10"/>
      <c r="P1159" s="10"/>
      <c r="Q1159" s="10"/>
      <c r="R1159" s="10"/>
      <c r="S1159" s="10"/>
      <c r="T1159" s="10"/>
      <c r="U1159" s="10"/>
      <c r="V1159" s="10"/>
      <c r="W1159" s="10"/>
      <c r="X1159" s="10"/>
      <c r="Y1159" s="10"/>
    </row>
    <row r="1160" spans="1:25" ht="16.5" customHeight="1" x14ac:dyDescent="0.2">
      <c r="A1160" s="409" t="s">
        <v>683</v>
      </c>
      <c r="B1160" s="410"/>
      <c r="C1160" s="416"/>
      <c r="D1160" s="148">
        <v>1.2</v>
      </c>
      <c r="E1160" s="148"/>
      <c r="F1160" s="148">
        <v>1.2</v>
      </c>
      <c r="G1160" s="148">
        <v>3</v>
      </c>
      <c r="H1160" s="148">
        <v>7</v>
      </c>
      <c r="I1160" s="147"/>
      <c r="J1160" s="170">
        <f t="shared" si="56"/>
        <v>30.240000000000002</v>
      </c>
      <c r="L1160" s="10"/>
      <c r="M1160" s="10"/>
      <c r="N1160" s="10"/>
      <c r="O1160" s="10"/>
      <c r="P1160" s="10"/>
      <c r="Q1160" s="10"/>
      <c r="R1160" s="10"/>
      <c r="S1160" s="10"/>
      <c r="T1160" s="10"/>
      <c r="U1160" s="10"/>
      <c r="V1160" s="10"/>
      <c r="W1160" s="10"/>
      <c r="X1160" s="10"/>
      <c r="Y1160" s="10"/>
    </row>
    <row r="1161" spans="1:25" ht="16.5" customHeight="1" x14ac:dyDescent="0.2">
      <c r="A1161" s="413"/>
      <c r="B1161" s="417"/>
      <c r="C1161" s="414"/>
      <c r="D1161" s="148">
        <v>1.8</v>
      </c>
      <c r="E1161" s="148"/>
      <c r="F1161" s="148">
        <v>1.2</v>
      </c>
      <c r="G1161" s="148">
        <v>1</v>
      </c>
      <c r="H1161" s="148">
        <v>7</v>
      </c>
      <c r="I1161" s="147"/>
      <c r="J1161" s="170">
        <f t="shared" si="56"/>
        <v>15.120000000000001</v>
      </c>
      <c r="L1161" s="10"/>
      <c r="M1161" s="10"/>
      <c r="N1161" s="10"/>
      <c r="O1161" s="10"/>
      <c r="P1161" s="10"/>
      <c r="Q1161" s="10"/>
      <c r="R1161" s="10"/>
      <c r="S1161" s="10"/>
      <c r="T1161" s="10"/>
      <c r="U1161" s="10"/>
      <c r="V1161" s="10"/>
      <c r="W1161" s="10"/>
      <c r="X1161" s="10"/>
      <c r="Y1161" s="10"/>
    </row>
    <row r="1162" spans="1:25" ht="16.5" customHeight="1" x14ac:dyDescent="0.2">
      <c r="A1162" s="411"/>
      <c r="B1162" s="412"/>
      <c r="C1162" s="415"/>
      <c r="D1162" s="148">
        <v>1.2</v>
      </c>
      <c r="E1162" s="148"/>
      <c r="F1162" s="148">
        <v>0.6</v>
      </c>
      <c r="G1162" s="148">
        <v>1</v>
      </c>
      <c r="H1162" s="148">
        <v>7</v>
      </c>
      <c r="I1162" s="147"/>
      <c r="J1162" s="170">
        <f t="shared" si="56"/>
        <v>5.04</v>
      </c>
      <c r="L1162" s="10"/>
      <c r="M1162" s="10"/>
      <c r="N1162" s="10"/>
      <c r="O1162" s="10"/>
      <c r="P1162" s="10"/>
      <c r="Q1162" s="10"/>
      <c r="R1162" s="10"/>
      <c r="S1162" s="10"/>
      <c r="T1162" s="10"/>
      <c r="U1162" s="10"/>
      <c r="V1162" s="10"/>
      <c r="W1162" s="10"/>
      <c r="X1162" s="10"/>
      <c r="Y1162" s="10"/>
    </row>
    <row r="1163" spans="1:25" ht="16.5" customHeight="1" x14ac:dyDescent="0.2">
      <c r="A1163" s="409" t="s">
        <v>684</v>
      </c>
      <c r="B1163" s="410"/>
      <c r="C1163" s="416"/>
      <c r="D1163" s="148">
        <v>1.2</v>
      </c>
      <c r="E1163" s="148"/>
      <c r="F1163" s="148">
        <v>1.2</v>
      </c>
      <c r="G1163" s="148">
        <v>3</v>
      </c>
      <c r="H1163" s="148">
        <v>7</v>
      </c>
      <c r="I1163" s="147"/>
      <c r="J1163" s="170">
        <f t="shared" si="56"/>
        <v>30.240000000000002</v>
      </c>
      <c r="L1163" s="10"/>
      <c r="M1163" s="10"/>
      <c r="N1163" s="10"/>
      <c r="O1163" s="10"/>
      <c r="P1163" s="10"/>
      <c r="Q1163" s="10"/>
      <c r="R1163" s="10"/>
      <c r="S1163" s="10"/>
      <c r="T1163" s="10"/>
      <c r="U1163" s="10"/>
      <c r="V1163" s="10"/>
      <c r="W1163" s="10"/>
      <c r="X1163" s="10"/>
      <c r="Y1163" s="10"/>
    </row>
    <row r="1164" spans="1:25" ht="16.5" customHeight="1" x14ac:dyDescent="0.2">
      <c r="A1164" s="413"/>
      <c r="B1164" s="417"/>
      <c r="C1164" s="414"/>
      <c r="D1164" s="148">
        <v>1.8</v>
      </c>
      <c r="E1164" s="148"/>
      <c r="F1164" s="148">
        <v>1.2</v>
      </c>
      <c r="G1164" s="148">
        <v>1</v>
      </c>
      <c r="H1164" s="148">
        <v>7</v>
      </c>
      <c r="I1164" s="147"/>
      <c r="J1164" s="170">
        <f t="shared" si="56"/>
        <v>15.120000000000001</v>
      </c>
      <c r="L1164" s="10"/>
      <c r="M1164" s="10"/>
      <c r="N1164" s="10"/>
      <c r="O1164" s="10"/>
      <c r="P1164" s="10"/>
      <c r="Q1164" s="10"/>
      <c r="R1164" s="10"/>
      <c r="S1164" s="10"/>
      <c r="T1164" s="10"/>
      <c r="U1164" s="10"/>
      <c r="V1164" s="10"/>
      <c r="W1164" s="10"/>
      <c r="X1164" s="10"/>
      <c r="Y1164" s="10"/>
    </row>
    <row r="1165" spans="1:25" ht="16.5" customHeight="1" x14ac:dyDescent="0.2">
      <c r="A1165" s="411"/>
      <c r="B1165" s="412"/>
      <c r="C1165" s="415"/>
      <c r="D1165" s="148">
        <v>1.2</v>
      </c>
      <c r="E1165" s="148"/>
      <c r="F1165" s="148">
        <v>0.6</v>
      </c>
      <c r="G1165" s="148">
        <v>1</v>
      </c>
      <c r="H1165" s="148">
        <v>7</v>
      </c>
      <c r="I1165" s="147"/>
      <c r="J1165" s="170">
        <f t="shared" si="56"/>
        <v>5.04</v>
      </c>
      <c r="L1165" s="10"/>
      <c r="M1165" s="10"/>
      <c r="N1165" s="10"/>
      <c r="O1165" s="10"/>
      <c r="P1165" s="10"/>
      <c r="Q1165" s="10"/>
      <c r="R1165" s="10"/>
      <c r="S1165" s="10"/>
      <c r="T1165" s="10"/>
      <c r="U1165" s="10"/>
      <c r="V1165" s="10"/>
      <c r="W1165" s="10"/>
      <c r="X1165" s="10"/>
      <c r="Y1165" s="10"/>
    </row>
    <row r="1166" spans="1:25" ht="16.5" customHeight="1" x14ac:dyDescent="0.2">
      <c r="A1166" s="409" t="s">
        <v>685</v>
      </c>
      <c r="B1166" s="410"/>
      <c r="C1166" s="416"/>
      <c r="D1166" s="148">
        <v>1.2</v>
      </c>
      <c r="E1166" s="148"/>
      <c r="F1166" s="148">
        <v>1.2</v>
      </c>
      <c r="G1166" s="148">
        <v>3</v>
      </c>
      <c r="H1166" s="148">
        <v>7</v>
      </c>
      <c r="I1166" s="147"/>
      <c r="J1166" s="170">
        <f t="shared" si="56"/>
        <v>30.240000000000002</v>
      </c>
      <c r="L1166" s="10"/>
      <c r="M1166" s="10"/>
      <c r="N1166" s="10"/>
      <c r="O1166" s="10"/>
      <c r="P1166" s="10"/>
      <c r="Q1166" s="10"/>
      <c r="R1166" s="10"/>
      <c r="S1166" s="10"/>
      <c r="T1166" s="10"/>
      <c r="U1166" s="10"/>
      <c r="V1166" s="10"/>
      <c r="W1166" s="10"/>
      <c r="X1166" s="10"/>
      <c r="Y1166" s="10"/>
    </row>
    <row r="1167" spans="1:25" ht="16.5" customHeight="1" x14ac:dyDescent="0.2">
      <c r="A1167" s="413"/>
      <c r="B1167" s="417"/>
      <c r="C1167" s="414"/>
      <c r="D1167" s="148">
        <v>1.8</v>
      </c>
      <c r="E1167" s="148"/>
      <c r="F1167" s="148">
        <v>1.2</v>
      </c>
      <c r="G1167" s="148">
        <v>1</v>
      </c>
      <c r="H1167" s="148">
        <v>7</v>
      </c>
      <c r="I1167" s="147"/>
      <c r="J1167" s="170">
        <f t="shared" si="56"/>
        <v>15.120000000000001</v>
      </c>
      <c r="L1167" s="10"/>
      <c r="M1167" s="10"/>
      <c r="N1167" s="10"/>
      <c r="O1167" s="10"/>
      <c r="P1167" s="10"/>
      <c r="Q1167" s="10"/>
      <c r="R1167" s="10"/>
      <c r="S1167" s="10"/>
      <c r="T1167" s="10"/>
      <c r="U1167" s="10"/>
      <c r="V1167" s="10"/>
      <c r="W1167" s="10"/>
      <c r="X1167" s="10"/>
      <c r="Y1167" s="10"/>
    </row>
    <row r="1168" spans="1:25" ht="16.5" customHeight="1" x14ac:dyDescent="0.2">
      <c r="A1168" s="411"/>
      <c r="B1168" s="412"/>
      <c r="C1168" s="415"/>
      <c r="D1168" s="148">
        <v>1.2</v>
      </c>
      <c r="E1168" s="148"/>
      <c r="F1168" s="148">
        <v>0.6</v>
      </c>
      <c r="G1168" s="148">
        <v>1</v>
      </c>
      <c r="H1168" s="148">
        <v>7</v>
      </c>
      <c r="I1168" s="147"/>
      <c r="J1168" s="170">
        <f t="shared" si="56"/>
        <v>5.04</v>
      </c>
      <c r="L1168" s="10"/>
      <c r="M1168" s="10"/>
      <c r="N1168" s="10"/>
      <c r="O1168" s="10"/>
      <c r="P1168" s="10"/>
      <c r="Q1168" s="10"/>
      <c r="R1168" s="10"/>
      <c r="S1168" s="10"/>
      <c r="T1168" s="10"/>
      <c r="U1168" s="10"/>
      <c r="V1168" s="10"/>
      <c r="W1168" s="10"/>
      <c r="X1168" s="10"/>
      <c r="Y1168" s="10"/>
    </row>
    <row r="1169" spans="1:25" ht="16.5" customHeight="1" x14ac:dyDescent="0.2">
      <c r="A1169" s="409" t="s">
        <v>687</v>
      </c>
      <c r="B1169" s="410"/>
      <c r="C1169" s="416"/>
      <c r="D1169" s="148">
        <v>1.2</v>
      </c>
      <c r="E1169" s="148"/>
      <c r="F1169" s="148">
        <v>1.2</v>
      </c>
      <c r="G1169" s="148">
        <v>3</v>
      </c>
      <c r="H1169" s="148">
        <v>7</v>
      </c>
      <c r="I1169" s="147"/>
      <c r="J1169" s="170">
        <f t="shared" si="56"/>
        <v>30.240000000000002</v>
      </c>
      <c r="L1169" s="10"/>
      <c r="M1169" s="10"/>
      <c r="N1169" s="10"/>
      <c r="O1169" s="10"/>
      <c r="P1169" s="10"/>
      <c r="Q1169" s="10"/>
      <c r="R1169" s="10"/>
      <c r="S1169" s="10"/>
      <c r="T1169" s="10"/>
      <c r="U1169" s="10"/>
      <c r="V1169" s="10"/>
      <c r="W1169" s="10"/>
      <c r="X1169" s="10"/>
      <c r="Y1169" s="10"/>
    </row>
    <row r="1170" spans="1:25" ht="16.5" customHeight="1" x14ac:dyDescent="0.2">
      <c r="A1170" s="413"/>
      <c r="B1170" s="417"/>
      <c r="C1170" s="414"/>
      <c r="D1170" s="148">
        <v>1.8</v>
      </c>
      <c r="E1170" s="148"/>
      <c r="F1170" s="148">
        <v>1.2</v>
      </c>
      <c r="G1170" s="148">
        <v>1</v>
      </c>
      <c r="H1170" s="148">
        <v>7</v>
      </c>
      <c r="I1170" s="147"/>
      <c r="J1170" s="170">
        <f t="shared" si="56"/>
        <v>15.120000000000001</v>
      </c>
      <c r="L1170" s="10"/>
      <c r="M1170" s="10"/>
      <c r="N1170" s="10"/>
      <c r="O1170" s="10"/>
      <c r="P1170" s="10"/>
      <c r="Q1170" s="10"/>
      <c r="R1170" s="10"/>
      <c r="S1170" s="10"/>
      <c r="T1170" s="10"/>
      <c r="U1170" s="10"/>
      <c r="V1170" s="10"/>
      <c r="W1170" s="10"/>
      <c r="X1170" s="10"/>
      <c r="Y1170" s="10"/>
    </row>
    <row r="1171" spans="1:25" ht="16.5" customHeight="1" x14ac:dyDescent="0.2">
      <c r="A1171" s="411"/>
      <c r="B1171" s="412"/>
      <c r="C1171" s="415"/>
      <c r="D1171" s="148">
        <v>1.2</v>
      </c>
      <c r="E1171" s="148"/>
      <c r="F1171" s="148">
        <v>0.6</v>
      </c>
      <c r="G1171" s="148">
        <v>1</v>
      </c>
      <c r="H1171" s="148">
        <v>7</v>
      </c>
      <c r="I1171" s="147"/>
      <c r="J1171" s="170">
        <f t="shared" si="56"/>
        <v>5.04</v>
      </c>
      <c r="L1171" s="10"/>
      <c r="M1171" s="10"/>
      <c r="N1171" s="10"/>
      <c r="O1171" s="10"/>
      <c r="P1171" s="10"/>
      <c r="Q1171" s="10"/>
      <c r="R1171" s="10"/>
      <c r="S1171" s="10"/>
      <c r="T1171" s="10"/>
      <c r="U1171" s="10"/>
      <c r="V1171" s="10"/>
      <c r="W1171" s="10"/>
      <c r="X1171" s="10"/>
      <c r="Y1171" s="10"/>
    </row>
    <row r="1172" spans="1:25" ht="16.5" customHeight="1" x14ac:dyDescent="0.2">
      <c r="A1172" s="321" t="s">
        <v>492</v>
      </c>
      <c r="B1172" s="322"/>
      <c r="C1172" s="323"/>
      <c r="D1172" s="148">
        <v>0.8</v>
      </c>
      <c r="E1172" s="148"/>
      <c r="F1172" s="148">
        <v>1.6</v>
      </c>
      <c r="G1172" s="148">
        <v>3</v>
      </c>
      <c r="H1172" s="148">
        <v>7</v>
      </c>
      <c r="I1172" s="147"/>
      <c r="J1172" s="170">
        <f t="shared" si="56"/>
        <v>26.880000000000006</v>
      </c>
      <c r="L1172" s="10"/>
      <c r="M1172" s="10"/>
      <c r="N1172" s="10"/>
      <c r="O1172" s="10"/>
      <c r="P1172" s="10"/>
      <c r="Q1172" s="10"/>
      <c r="R1172" s="10"/>
      <c r="S1172" s="10"/>
      <c r="T1172" s="10"/>
      <c r="U1172" s="10"/>
      <c r="V1172" s="10"/>
      <c r="W1172" s="10"/>
      <c r="X1172" s="10"/>
      <c r="Y1172" s="10"/>
    </row>
    <row r="1173" spans="1:25" ht="16.5" customHeight="1" x14ac:dyDescent="0.2">
      <c r="A1173" s="329"/>
      <c r="B1173" s="357"/>
      <c r="C1173" s="330"/>
      <c r="D1173" s="148">
        <v>0.6</v>
      </c>
      <c r="E1173" s="148"/>
      <c r="F1173" s="148">
        <v>1.2</v>
      </c>
      <c r="G1173" s="148">
        <v>8</v>
      </c>
      <c r="H1173" s="148">
        <v>7</v>
      </c>
      <c r="I1173" s="147"/>
      <c r="J1173" s="170">
        <f t="shared" si="56"/>
        <v>40.32</v>
      </c>
      <c r="L1173" s="10"/>
      <c r="M1173" s="10"/>
      <c r="N1173" s="10"/>
      <c r="O1173" s="10"/>
      <c r="P1173" s="10"/>
      <c r="Q1173" s="10"/>
      <c r="R1173" s="10"/>
      <c r="S1173" s="10"/>
      <c r="T1173" s="10"/>
      <c r="U1173" s="10"/>
      <c r="V1173" s="10"/>
      <c r="W1173" s="10"/>
      <c r="X1173" s="10"/>
      <c r="Y1173" s="10"/>
    </row>
    <row r="1174" spans="1:25" ht="16.5" customHeight="1" x14ac:dyDescent="0.2">
      <c r="A1174" s="324"/>
      <c r="B1174" s="325"/>
      <c r="C1174" s="326"/>
      <c r="D1174" s="148">
        <v>0.6</v>
      </c>
      <c r="E1174" s="148"/>
      <c r="F1174" s="148">
        <v>0.8</v>
      </c>
      <c r="G1174" s="148">
        <v>2</v>
      </c>
      <c r="H1174" s="148">
        <v>7</v>
      </c>
      <c r="I1174" s="147"/>
      <c r="J1174" s="170">
        <f t="shared" si="56"/>
        <v>6.72</v>
      </c>
      <c r="L1174" s="10"/>
      <c r="M1174" s="10"/>
      <c r="N1174" s="10"/>
      <c r="O1174" s="10"/>
      <c r="P1174" s="10"/>
      <c r="Q1174" s="10"/>
      <c r="R1174" s="10"/>
      <c r="S1174" s="10"/>
      <c r="T1174" s="10"/>
      <c r="U1174" s="10"/>
      <c r="V1174" s="10"/>
      <c r="W1174" s="10"/>
      <c r="X1174" s="10"/>
      <c r="Y1174" s="10"/>
    </row>
    <row r="1175" spans="1:25" ht="16.5" customHeight="1" x14ac:dyDescent="0.2">
      <c r="A1175" s="342" t="str">
        <f>"TOTAL - "&amp;'Planilha orçamentária'!F89</f>
        <v>TOTAL - M2</v>
      </c>
      <c r="B1175" s="342"/>
      <c r="C1175" s="342"/>
      <c r="D1175" s="342"/>
      <c r="E1175" s="342"/>
      <c r="F1175" s="342"/>
      <c r="G1175" s="342"/>
      <c r="H1175" s="342"/>
      <c r="I1175" s="342"/>
      <c r="J1175" s="149">
        <f>SUM(J1124:J1174)</f>
        <v>880.32</v>
      </c>
      <c r="K1175" s="10"/>
      <c r="L1175" s="10"/>
      <c r="M1175" s="10"/>
      <c r="N1175" s="10"/>
      <c r="O1175" s="10"/>
      <c r="P1175" s="10"/>
      <c r="Q1175" s="10"/>
      <c r="R1175" s="10"/>
      <c r="S1175" s="10"/>
      <c r="T1175" s="10"/>
      <c r="U1175" s="10"/>
      <c r="V1175" s="10"/>
      <c r="W1175" s="10"/>
      <c r="X1175" s="10"/>
      <c r="Y1175" s="10"/>
    </row>
    <row r="1176" spans="1:25" ht="16.5" customHeight="1" x14ac:dyDescent="0.2">
      <c r="A1176" s="35">
        <f>'Planilha orçamentária'!A91</f>
        <v>12</v>
      </c>
      <c r="B1176" s="397" t="str">
        <f>'Planilha orçamentária'!D91</f>
        <v>PINTURA</v>
      </c>
      <c r="C1176" s="393"/>
      <c r="D1176" s="393"/>
      <c r="E1176" s="393"/>
      <c r="F1176" s="393"/>
      <c r="G1176" s="393"/>
      <c r="H1176" s="393"/>
      <c r="I1176" s="393"/>
      <c r="J1176" s="393"/>
      <c r="L1176" s="10"/>
      <c r="M1176" s="10"/>
      <c r="N1176" s="10"/>
      <c r="O1176" s="10"/>
      <c r="P1176" s="10"/>
      <c r="Q1176" s="10"/>
      <c r="R1176" s="10"/>
      <c r="S1176" s="10"/>
      <c r="T1176" s="10"/>
      <c r="U1176" s="10"/>
      <c r="V1176" s="10"/>
      <c r="W1176" s="10"/>
      <c r="X1176" s="10"/>
      <c r="Y1176" s="10"/>
    </row>
    <row r="1177" spans="1:25" ht="16.5" customHeight="1" x14ac:dyDescent="0.2">
      <c r="A1177" s="184" t="str">
        <f>'Planilha orçamentária'!A92</f>
        <v>12.1</v>
      </c>
      <c r="B1177" s="343" t="str">
        <f>'Planilha orçamentária'!D92</f>
        <v>Preparação para emassamento ou pintura (látex/ acrílica) em parede, inclusive uma (1) demão de selador acrílico</v>
      </c>
      <c r="C1177" s="344"/>
      <c r="D1177" s="344"/>
      <c r="E1177" s="344"/>
      <c r="F1177" s="344"/>
      <c r="G1177" s="344"/>
      <c r="H1177" s="344"/>
      <c r="I1177" s="344"/>
      <c r="J1177" s="344"/>
      <c r="K1177" s="10"/>
      <c r="L1177" s="10"/>
      <c r="M1177" s="10"/>
      <c r="N1177" s="10"/>
      <c r="O1177" s="10"/>
      <c r="P1177" s="10"/>
      <c r="Q1177" s="10"/>
      <c r="R1177" s="10"/>
      <c r="S1177" s="10"/>
      <c r="T1177" s="10"/>
      <c r="U1177" s="10"/>
      <c r="V1177" s="10"/>
      <c r="W1177" s="10"/>
      <c r="X1177" s="10"/>
      <c r="Y1177" s="10"/>
    </row>
    <row r="1178" spans="1:25" ht="16.5" customHeight="1" x14ac:dyDescent="0.2">
      <c r="A1178" s="327" t="s">
        <v>120</v>
      </c>
      <c r="B1178" s="328"/>
      <c r="C1178" s="328"/>
      <c r="D1178" s="182" t="s">
        <v>307</v>
      </c>
      <c r="E1178" s="182" t="s">
        <v>122</v>
      </c>
      <c r="F1178" s="181" t="s">
        <v>123</v>
      </c>
      <c r="G1178" s="181" t="s">
        <v>124</v>
      </c>
      <c r="H1178" s="181" t="s">
        <v>125</v>
      </c>
      <c r="I1178" s="182" t="s">
        <v>126</v>
      </c>
      <c r="J1178" s="182" t="s">
        <v>113</v>
      </c>
      <c r="K1178" s="10"/>
      <c r="L1178" s="10"/>
      <c r="M1178" s="10"/>
      <c r="N1178" s="10"/>
      <c r="O1178" s="10"/>
      <c r="P1178" s="10"/>
      <c r="Q1178" s="10"/>
      <c r="R1178" s="10"/>
      <c r="S1178" s="10"/>
      <c r="T1178" s="10"/>
      <c r="U1178" s="10"/>
      <c r="V1178" s="10"/>
      <c r="W1178" s="10"/>
      <c r="X1178" s="10"/>
      <c r="Y1178" s="10"/>
    </row>
    <row r="1179" spans="1:25" ht="16.5" customHeight="1" x14ac:dyDescent="0.2">
      <c r="A1179" s="413" t="s">
        <v>671</v>
      </c>
      <c r="B1179" s="414"/>
      <c r="C1179" s="33" t="s">
        <v>319</v>
      </c>
      <c r="D1179" s="148">
        <f>2.6*2+2.9*2</f>
        <v>11</v>
      </c>
      <c r="E1179" s="148"/>
      <c r="F1179" s="148">
        <f>2.9-0.12</f>
        <v>2.78</v>
      </c>
      <c r="G1179" s="148">
        <v>7</v>
      </c>
      <c r="H1179" s="148"/>
      <c r="I1179" s="176">
        <f>(1.2*1.2+0.7*2.1)*7</f>
        <v>20.37</v>
      </c>
      <c r="J1179" s="170">
        <f t="shared" ref="J1179:J1242" si="57">PRODUCT(D1179:H1179)-I1179</f>
        <v>193.69</v>
      </c>
      <c r="L1179" s="10"/>
      <c r="M1179" s="10"/>
      <c r="N1179" s="10"/>
      <c r="O1179" s="10"/>
      <c r="P1179" s="10"/>
      <c r="Q1179" s="10"/>
      <c r="R1179" s="10"/>
      <c r="S1179" s="10"/>
      <c r="T1179" s="10"/>
      <c r="U1179" s="10"/>
      <c r="V1179" s="10"/>
      <c r="W1179" s="10"/>
      <c r="X1179" s="10"/>
      <c r="Y1179" s="10"/>
    </row>
    <row r="1180" spans="1:25" ht="16.5" customHeight="1" x14ac:dyDescent="0.2">
      <c r="A1180" s="413"/>
      <c r="B1180" s="414"/>
      <c r="C1180" s="33" t="s">
        <v>320</v>
      </c>
      <c r="D1180" s="148">
        <f>2.4*2+2.9*2</f>
        <v>10.6</v>
      </c>
      <c r="E1180" s="148"/>
      <c r="F1180" s="148">
        <f t="shared" ref="F1180:F1181" si="58">2.9-0.12</f>
        <v>2.78</v>
      </c>
      <c r="G1180" s="148">
        <v>7</v>
      </c>
      <c r="H1180" s="148"/>
      <c r="I1180" s="176">
        <f>(1.2*1.2+0.7*2.1)*7</f>
        <v>20.37</v>
      </c>
      <c r="J1180" s="170">
        <f t="shared" si="57"/>
        <v>185.90599999999998</v>
      </c>
      <c r="L1180" s="10"/>
      <c r="M1180" s="10"/>
      <c r="N1180" s="10"/>
      <c r="O1180" s="10"/>
      <c r="P1180" s="10"/>
      <c r="Q1180" s="10"/>
      <c r="R1180" s="10"/>
      <c r="S1180" s="10"/>
      <c r="T1180" s="10"/>
      <c r="U1180" s="10"/>
      <c r="V1180" s="10"/>
      <c r="W1180" s="10"/>
      <c r="X1180" s="10"/>
      <c r="Y1180" s="10"/>
    </row>
    <row r="1181" spans="1:25" ht="16.5" customHeight="1" x14ac:dyDescent="0.2">
      <c r="A1181" s="413"/>
      <c r="B1181" s="414"/>
      <c r="C1181" s="33" t="s">
        <v>321</v>
      </c>
      <c r="D1181" s="148">
        <f>(2.4+5.23+2.4+2.03+1.05+1.2+1.05)</f>
        <v>15.360000000000001</v>
      </c>
      <c r="E1181" s="148"/>
      <c r="F1181" s="148">
        <f t="shared" si="58"/>
        <v>2.78</v>
      </c>
      <c r="G1181" s="148">
        <v>7</v>
      </c>
      <c r="H1181" s="148"/>
      <c r="I1181" s="176">
        <f>(1.8*1.2+3*0.7*2.1+0.8*2.1)*7</f>
        <v>57.75</v>
      </c>
      <c r="J1181" s="170">
        <f t="shared" si="57"/>
        <v>241.15559999999999</v>
      </c>
      <c r="L1181" s="10"/>
      <c r="M1181" s="10"/>
      <c r="N1181" s="10"/>
      <c r="O1181" s="10"/>
      <c r="P1181" s="10"/>
      <c r="Q1181" s="10"/>
      <c r="R1181" s="10"/>
      <c r="S1181" s="10"/>
      <c r="T1181" s="10"/>
      <c r="U1181" s="10"/>
      <c r="V1181" s="10"/>
      <c r="W1181" s="10"/>
      <c r="X1181" s="10"/>
      <c r="Y1181" s="10"/>
    </row>
    <row r="1182" spans="1:25" ht="16.5" customHeight="1" x14ac:dyDescent="0.2">
      <c r="A1182" s="411"/>
      <c r="B1182" s="415"/>
      <c r="C1182" s="33" t="s">
        <v>322</v>
      </c>
      <c r="D1182" s="148"/>
      <c r="E1182" s="148"/>
      <c r="F1182" s="148"/>
      <c r="G1182" s="148">
        <v>7</v>
      </c>
      <c r="H1182" s="148">
        <v>39.57</v>
      </c>
      <c r="I1182" s="176"/>
      <c r="J1182" s="170">
        <f t="shared" si="57"/>
        <v>276.99</v>
      </c>
      <c r="L1182" s="10"/>
      <c r="M1182" s="10"/>
      <c r="N1182" s="10"/>
      <c r="O1182" s="10"/>
      <c r="P1182" s="10"/>
      <c r="Q1182" s="10"/>
      <c r="R1182" s="10"/>
      <c r="S1182" s="10"/>
      <c r="T1182" s="10"/>
      <c r="U1182" s="10"/>
      <c r="V1182" s="10"/>
      <c r="W1182" s="10"/>
      <c r="X1182" s="10"/>
      <c r="Y1182" s="10"/>
    </row>
    <row r="1183" spans="1:25" ht="16.5" customHeight="1" x14ac:dyDescent="0.2">
      <c r="A1183" s="413" t="s">
        <v>672</v>
      </c>
      <c r="B1183" s="414"/>
      <c r="C1183" s="33" t="s">
        <v>319</v>
      </c>
      <c r="D1183" s="148">
        <f>2.6*2+2.9*2</f>
        <v>11</v>
      </c>
      <c r="E1183" s="148"/>
      <c r="F1183" s="148">
        <f>2.9-0.12</f>
        <v>2.78</v>
      </c>
      <c r="G1183" s="148">
        <v>7</v>
      </c>
      <c r="H1183" s="148"/>
      <c r="I1183" s="176">
        <f>(1.2*1.2+0.7*2.1)*7</f>
        <v>20.37</v>
      </c>
      <c r="J1183" s="170">
        <f t="shared" si="57"/>
        <v>193.69</v>
      </c>
      <c r="L1183" s="10"/>
      <c r="M1183" s="10"/>
      <c r="N1183" s="10"/>
      <c r="O1183" s="10"/>
      <c r="P1183" s="10"/>
      <c r="Q1183" s="10"/>
      <c r="R1183" s="10"/>
      <c r="S1183" s="10"/>
      <c r="T1183" s="10"/>
      <c r="U1183" s="10"/>
      <c r="V1183" s="10"/>
      <c r="W1183" s="10"/>
      <c r="X1183" s="10"/>
      <c r="Y1183" s="10"/>
    </row>
    <row r="1184" spans="1:25" ht="16.5" customHeight="1" x14ac:dyDescent="0.2">
      <c r="A1184" s="413"/>
      <c r="B1184" s="414"/>
      <c r="C1184" s="33" t="s">
        <v>320</v>
      </c>
      <c r="D1184" s="148">
        <f>2.4*2+2.9*2</f>
        <v>10.6</v>
      </c>
      <c r="E1184" s="148"/>
      <c r="F1184" s="148">
        <f t="shared" ref="F1184:F1185" si="59">2.9-0.12</f>
        <v>2.78</v>
      </c>
      <c r="G1184" s="148">
        <v>7</v>
      </c>
      <c r="H1184" s="148"/>
      <c r="I1184" s="176">
        <f>(1.2*1.2+0.7*2.1)*7</f>
        <v>20.37</v>
      </c>
      <c r="J1184" s="170">
        <f t="shared" si="57"/>
        <v>185.90599999999998</v>
      </c>
      <c r="L1184" s="10"/>
      <c r="M1184" s="10"/>
      <c r="N1184" s="10"/>
      <c r="O1184" s="10"/>
      <c r="P1184" s="10"/>
      <c r="Q1184" s="10"/>
      <c r="R1184" s="10"/>
      <c r="S1184" s="10"/>
      <c r="T1184" s="10"/>
      <c r="U1184" s="10"/>
      <c r="V1184" s="10"/>
      <c r="W1184" s="10"/>
      <c r="X1184" s="10"/>
      <c r="Y1184" s="10"/>
    </row>
    <row r="1185" spans="1:25" ht="16.5" customHeight="1" x14ac:dyDescent="0.2">
      <c r="A1185" s="413"/>
      <c r="B1185" s="414"/>
      <c r="C1185" s="33" t="s">
        <v>321</v>
      </c>
      <c r="D1185" s="148">
        <f>(2.4+5.23+2.4+2.03+1.05+1.2+1.05)</f>
        <v>15.360000000000001</v>
      </c>
      <c r="E1185" s="148"/>
      <c r="F1185" s="148">
        <f t="shared" si="59"/>
        <v>2.78</v>
      </c>
      <c r="G1185" s="148">
        <v>7</v>
      </c>
      <c r="H1185" s="148"/>
      <c r="I1185" s="176">
        <f>(1.8*1.2+3*0.7*2.1+0.8*2.1)*7</f>
        <v>57.75</v>
      </c>
      <c r="J1185" s="170">
        <f t="shared" si="57"/>
        <v>241.15559999999999</v>
      </c>
      <c r="L1185" s="10"/>
      <c r="M1185" s="10"/>
      <c r="N1185" s="10"/>
      <c r="O1185" s="10"/>
      <c r="P1185" s="10"/>
      <c r="Q1185" s="10"/>
      <c r="R1185" s="10"/>
      <c r="S1185" s="10"/>
      <c r="T1185" s="10"/>
      <c r="U1185" s="10"/>
      <c r="V1185" s="10"/>
      <c r="W1185" s="10"/>
      <c r="X1185" s="10"/>
      <c r="Y1185" s="10"/>
    </row>
    <row r="1186" spans="1:25" ht="16.5" customHeight="1" x14ac:dyDescent="0.2">
      <c r="A1186" s="411"/>
      <c r="B1186" s="415"/>
      <c r="C1186" s="33" t="s">
        <v>322</v>
      </c>
      <c r="D1186" s="148"/>
      <c r="E1186" s="148"/>
      <c r="F1186" s="148"/>
      <c r="G1186" s="148">
        <v>7</v>
      </c>
      <c r="H1186" s="148">
        <v>39.57</v>
      </c>
      <c r="I1186" s="176"/>
      <c r="J1186" s="170">
        <f t="shared" si="57"/>
        <v>276.99</v>
      </c>
      <c r="L1186" s="10"/>
      <c r="M1186" s="10"/>
      <c r="N1186" s="10"/>
      <c r="O1186" s="10"/>
      <c r="P1186" s="10"/>
      <c r="Q1186" s="10"/>
      <c r="R1186" s="10"/>
      <c r="S1186" s="10"/>
      <c r="T1186" s="10"/>
      <c r="U1186" s="10"/>
      <c r="V1186" s="10"/>
      <c r="W1186" s="10"/>
      <c r="X1186" s="10"/>
      <c r="Y1186" s="10"/>
    </row>
    <row r="1187" spans="1:25" ht="16.5" customHeight="1" x14ac:dyDescent="0.2">
      <c r="A1187" s="413" t="s">
        <v>673</v>
      </c>
      <c r="B1187" s="414"/>
      <c r="C1187" s="33" t="s">
        <v>319</v>
      </c>
      <c r="D1187" s="148">
        <f>2.6*2+2.9*2</f>
        <v>11</v>
      </c>
      <c r="E1187" s="148"/>
      <c r="F1187" s="148">
        <f>2.9-0.12</f>
        <v>2.78</v>
      </c>
      <c r="G1187" s="148">
        <v>7</v>
      </c>
      <c r="H1187" s="148"/>
      <c r="I1187" s="176">
        <f>(1.2*1.2+0.8*2.1)*7</f>
        <v>21.84</v>
      </c>
      <c r="J1187" s="170">
        <f t="shared" si="57"/>
        <v>192.22</v>
      </c>
      <c r="L1187" s="10"/>
      <c r="M1187" s="10"/>
      <c r="N1187" s="10"/>
      <c r="O1187" s="10"/>
      <c r="P1187" s="10"/>
      <c r="Q1187" s="10"/>
      <c r="R1187" s="10"/>
      <c r="S1187" s="10"/>
      <c r="T1187" s="10"/>
      <c r="U1187" s="10"/>
      <c r="V1187" s="10"/>
      <c r="W1187" s="10"/>
      <c r="X1187" s="10"/>
      <c r="Y1187" s="10"/>
    </row>
    <row r="1188" spans="1:25" ht="16.5" customHeight="1" x14ac:dyDescent="0.2">
      <c r="A1188" s="413"/>
      <c r="B1188" s="414"/>
      <c r="C1188" s="33" t="s">
        <v>320</v>
      </c>
      <c r="D1188" s="148">
        <f>2.4*2+2.9*2</f>
        <v>10.6</v>
      </c>
      <c r="E1188" s="148"/>
      <c r="F1188" s="148">
        <f t="shared" ref="F1188:F1189" si="60">2.9-0.12</f>
        <v>2.78</v>
      </c>
      <c r="G1188" s="148">
        <v>7</v>
      </c>
      <c r="H1188" s="148"/>
      <c r="I1188" s="176">
        <f>(1.2*1.2+0.8*2.1)*7</f>
        <v>21.84</v>
      </c>
      <c r="J1188" s="170">
        <f t="shared" si="57"/>
        <v>184.43599999999998</v>
      </c>
      <c r="L1188" s="10"/>
      <c r="M1188" s="10"/>
      <c r="N1188" s="10"/>
      <c r="O1188" s="10"/>
      <c r="P1188" s="10"/>
      <c r="Q1188" s="10"/>
      <c r="R1188" s="10"/>
      <c r="S1188" s="10"/>
      <c r="T1188" s="10"/>
      <c r="U1188" s="10"/>
      <c r="V1188" s="10"/>
      <c r="W1188" s="10"/>
      <c r="X1188" s="10"/>
      <c r="Y1188" s="10"/>
    </row>
    <row r="1189" spans="1:25" ht="16.5" customHeight="1" x14ac:dyDescent="0.2">
      <c r="A1189" s="413"/>
      <c r="B1189" s="414"/>
      <c r="C1189" s="33" t="s">
        <v>321</v>
      </c>
      <c r="D1189" s="148">
        <f>(2.4+5.23+2.4+2.03+1.05+1.2+1.05)</f>
        <v>15.360000000000001</v>
      </c>
      <c r="E1189" s="148"/>
      <c r="F1189" s="148">
        <f t="shared" si="60"/>
        <v>2.78</v>
      </c>
      <c r="G1189" s="148">
        <v>7</v>
      </c>
      <c r="H1189" s="148"/>
      <c r="I1189" s="176">
        <f>(1.8*1.2+4*0.8*2.1)*7</f>
        <v>62.160000000000004</v>
      </c>
      <c r="J1189" s="170">
        <f t="shared" si="57"/>
        <v>236.7456</v>
      </c>
      <c r="L1189" s="10"/>
      <c r="M1189" s="10"/>
      <c r="N1189" s="10"/>
      <c r="O1189" s="10"/>
      <c r="P1189" s="10"/>
      <c r="Q1189" s="10"/>
      <c r="R1189" s="10"/>
      <c r="S1189" s="10"/>
      <c r="T1189" s="10"/>
      <c r="U1189" s="10"/>
      <c r="V1189" s="10"/>
      <c r="W1189" s="10"/>
      <c r="X1189" s="10"/>
      <c r="Y1189" s="10"/>
    </row>
    <row r="1190" spans="1:25" ht="16.5" customHeight="1" x14ac:dyDescent="0.2">
      <c r="A1190" s="411"/>
      <c r="B1190" s="415"/>
      <c r="C1190" s="33" t="s">
        <v>322</v>
      </c>
      <c r="D1190" s="148"/>
      <c r="E1190" s="148"/>
      <c r="F1190" s="148"/>
      <c r="G1190" s="148">
        <v>7</v>
      </c>
      <c r="H1190" s="148">
        <v>39.57</v>
      </c>
      <c r="I1190" s="176"/>
      <c r="J1190" s="170">
        <f t="shared" si="57"/>
        <v>276.99</v>
      </c>
      <c r="L1190" s="10"/>
      <c r="M1190" s="10"/>
      <c r="N1190" s="10"/>
      <c r="O1190" s="10"/>
      <c r="P1190" s="10"/>
      <c r="Q1190" s="10"/>
      <c r="R1190" s="10"/>
      <c r="S1190" s="10"/>
      <c r="T1190" s="10"/>
      <c r="U1190" s="10"/>
      <c r="V1190" s="10"/>
      <c r="W1190" s="10"/>
      <c r="X1190" s="10"/>
      <c r="Y1190" s="10"/>
    </row>
    <row r="1191" spans="1:25" ht="16.5" customHeight="1" x14ac:dyDescent="0.2">
      <c r="A1191" s="413" t="s">
        <v>674</v>
      </c>
      <c r="B1191" s="414"/>
      <c r="C1191" s="33" t="s">
        <v>319</v>
      </c>
      <c r="D1191" s="148">
        <f>2.6*2+2.9*2</f>
        <v>11</v>
      </c>
      <c r="E1191" s="148"/>
      <c r="F1191" s="148">
        <f>2.9-0.12</f>
        <v>2.78</v>
      </c>
      <c r="G1191" s="148">
        <v>7</v>
      </c>
      <c r="H1191" s="148"/>
      <c r="I1191" s="176">
        <f>(1.2*1.2+0.7*2.1)*7</f>
        <v>20.37</v>
      </c>
      <c r="J1191" s="170">
        <f t="shared" si="57"/>
        <v>193.69</v>
      </c>
      <c r="L1191" s="10"/>
      <c r="M1191" s="10"/>
      <c r="N1191" s="10"/>
      <c r="O1191" s="10"/>
      <c r="P1191" s="10"/>
      <c r="Q1191" s="10"/>
      <c r="R1191" s="10"/>
      <c r="S1191" s="10"/>
      <c r="T1191" s="10"/>
      <c r="U1191" s="10"/>
      <c r="V1191" s="10"/>
      <c r="W1191" s="10"/>
      <c r="X1191" s="10"/>
      <c r="Y1191" s="10"/>
    </row>
    <row r="1192" spans="1:25" ht="16.5" customHeight="1" x14ac:dyDescent="0.2">
      <c r="A1192" s="413"/>
      <c r="B1192" s="414"/>
      <c r="C1192" s="33" t="s">
        <v>320</v>
      </c>
      <c r="D1192" s="148">
        <f>2.4*2+2.9*2</f>
        <v>10.6</v>
      </c>
      <c r="E1192" s="148"/>
      <c r="F1192" s="148">
        <f t="shared" ref="F1192:F1193" si="61">2.9-0.12</f>
        <v>2.78</v>
      </c>
      <c r="G1192" s="148">
        <v>7</v>
      </c>
      <c r="H1192" s="148"/>
      <c r="I1192" s="176">
        <f>(1.2*1.2+0.7*2.1)*7</f>
        <v>20.37</v>
      </c>
      <c r="J1192" s="170">
        <f t="shared" si="57"/>
        <v>185.90599999999998</v>
      </c>
      <c r="L1192" s="10"/>
      <c r="M1192" s="10"/>
      <c r="N1192" s="10"/>
      <c r="O1192" s="10"/>
      <c r="P1192" s="10"/>
      <c r="Q1192" s="10"/>
      <c r="R1192" s="10"/>
      <c r="S1192" s="10"/>
      <c r="T1192" s="10"/>
      <c r="U1192" s="10"/>
      <c r="V1192" s="10"/>
      <c r="W1192" s="10"/>
      <c r="X1192" s="10"/>
      <c r="Y1192" s="10"/>
    </row>
    <row r="1193" spans="1:25" ht="16.5" customHeight="1" x14ac:dyDescent="0.2">
      <c r="A1193" s="413"/>
      <c r="B1193" s="414"/>
      <c r="C1193" s="33" t="s">
        <v>321</v>
      </c>
      <c r="D1193" s="148">
        <f>(2.4+5.23+2.4+2.03+1.05+1.2+1.05)</f>
        <v>15.360000000000001</v>
      </c>
      <c r="E1193" s="148"/>
      <c r="F1193" s="148">
        <f t="shared" si="61"/>
        <v>2.78</v>
      </c>
      <c r="G1193" s="148">
        <v>7</v>
      </c>
      <c r="H1193" s="148"/>
      <c r="I1193" s="176">
        <f>(1.8*1.2+3*0.7*2.1+0.8*2.1)*7</f>
        <v>57.75</v>
      </c>
      <c r="J1193" s="170">
        <f t="shared" si="57"/>
        <v>241.15559999999999</v>
      </c>
      <c r="L1193" s="10"/>
      <c r="M1193" s="10"/>
      <c r="N1193" s="10"/>
      <c r="O1193" s="10"/>
      <c r="P1193" s="10"/>
      <c r="Q1193" s="10"/>
      <c r="R1193" s="10"/>
      <c r="S1193" s="10"/>
      <c r="T1193" s="10"/>
      <c r="U1193" s="10"/>
      <c r="V1193" s="10"/>
      <c r="W1193" s="10"/>
      <c r="X1193" s="10"/>
      <c r="Y1193" s="10"/>
    </row>
    <row r="1194" spans="1:25" ht="16.5" customHeight="1" x14ac:dyDescent="0.2">
      <c r="A1194" s="411"/>
      <c r="B1194" s="415"/>
      <c r="C1194" s="33" t="s">
        <v>322</v>
      </c>
      <c r="D1194" s="148"/>
      <c r="E1194" s="148"/>
      <c r="F1194" s="148"/>
      <c r="G1194" s="148">
        <v>7</v>
      </c>
      <c r="H1194" s="148">
        <v>39.57</v>
      </c>
      <c r="I1194" s="176"/>
      <c r="J1194" s="170">
        <f t="shared" si="57"/>
        <v>276.99</v>
      </c>
      <c r="L1194" s="10"/>
      <c r="M1194" s="10"/>
      <c r="N1194" s="10"/>
      <c r="O1194" s="10"/>
      <c r="P1194" s="10"/>
      <c r="Q1194" s="10"/>
      <c r="R1194" s="10"/>
      <c r="S1194" s="10"/>
      <c r="T1194" s="10"/>
      <c r="U1194" s="10"/>
      <c r="V1194" s="10"/>
      <c r="W1194" s="10"/>
      <c r="X1194" s="10"/>
      <c r="Y1194" s="10"/>
    </row>
    <row r="1195" spans="1:25" ht="16.5" customHeight="1" x14ac:dyDescent="0.2">
      <c r="A1195" s="409" t="s">
        <v>784</v>
      </c>
      <c r="B1195" s="410"/>
      <c r="C1195" s="33" t="s">
        <v>322</v>
      </c>
      <c r="D1195" s="148"/>
      <c r="E1195" s="148"/>
      <c r="F1195" s="148"/>
      <c r="G1195" s="148">
        <v>7</v>
      </c>
      <c r="H1195" s="148">
        <f>ROUND(4.44*4.63,2)</f>
        <v>20.56</v>
      </c>
      <c r="I1195" s="175"/>
      <c r="J1195" s="170">
        <f t="shared" si="57"/>
        <v>143.91999999999999</v>
      </c>
      <c r="L1195" s="10"/>
      <c r="M1195" s="10"/>
      <c r="N1195" s="10"/>
      <c r="O1195" s="10"/>
      <c r="P1195" s="10"/>
      <c r="Q1195" s="10"/>
      <c r="R1195" s="10"/>
      <c r="S1195" s="10"/>
      <c r="T1195" s="10"/>
      <c r="U1195" s="10"/>
      <c r="V1195" s="10"/>
      <c r="W1195" s="10"/>
      <c r="X1195" s="10"/>
      <c r="Y1195" s="10"/>
    </row>
    <row r="1196" spans="1:25" ht="16.5" customHeight="1" x14ac:dyDescent="0.2">
      <c r="A1196" s="411"/>
      <c r="B1196" s="412"/>
      <c r="C1196" s="33" t="s">
        <v>323</v>
      </c>
      <c r="D1196" s="148">
        <f>4.44*2+4.63*2+2.03+0.87*2+0.15*2+0.72*2+1.74</f>
        <v>25.39</v>
      </c>
      <c r="E1196" s="148"/>
      <c r="F1196" s="148">
        <f>2.9-0.12</f>
        <v>2.78</v>
      </c>
      <c r="G1196" s="148">
        <v>7</v>
      </c>
      <c r="H1196" s="148"/>
      <c r="I1196" s="176">
        <f>(4*0.8*2.1+2*0.6*1.2+0.8*1.6)*7</f>
        <v>66.080000000000013</v>
      </c>
      <c r="J1196" s="170">
        <f t="shared" si="57"/>
        <v>428.00939999999991</v>
      </c>
      <c r="L1196" s="10"/>
      <c r="M1196" s="10"/>
      <c r="N1196" s="10"/>
      <c r="O1196" s="10"/>
      <c r="P1196" s="10"/>
      <c r="Q1196" s="10"/>
      <c r="R1196" s="10"/>
      <c r="S1196" s="10"/>
      <c r="T1196" s="10"/>
      <c r="U1196" s="10"/>
      <c r="V1196" s="10"/>
      <c r="W1196" s="10"/>
      <c r="X1196" s="10"/>
      <c r="Y1196" s="10"/>
    </row>
    <row r="1197" spans="1:25" ht="16.5" customHeight="1" x14ac:dyDescent="0.2">
      <c r="A1197" s="413" t="s">
        <v>675</v>
      </c>
      <c r="B1197" s="414"/>
      <c r="C1197" s="33" t="s">
        <v>319</v>
      </c>
      <c r="D1197" s="148">
        <f>2.6*2+2.9*2</f>
        <v>11</v>
      </c>
      <c r="E1197" s="148"/>
      <c r="F1197" s="148">
        <f t="shared" ref="F1197:F1198" si="62">2.9-0.12</f>
        <v>2.78</v>
      </c>
      <c r="G1197" s="148">
        <v>7</v>
      </c>
      <c r="H1197" s="148"/>
      <c r="I1197" s="176">
        <f>(1.2*1.2+0.7*2.1)*7</f>
        <v>20.37</v>
      </c>
      <c r="J1197" s="170">
        <f t="shared" si="57"/>
        <v>193.69</v>
      </c>
      <c r="L1197" s="10"/>
      <c r="M1197" s="10"/>
      <c r="N1197" s="10"/>
      <c r="O1197" s="10"/>
      <c r="P1197" s="10"/>
      <c r="Q1197" s="10"/>
      <c r="R1197" s="10"/>
      <c r="S1197" s="10"/>
      <c r="T1197" s="10"/>
      <c r="U1197" s="10"/>
      <c r="V1197" s="10"/>
      <c r="W1197" s="10"/>
      <c r="X1197" s="10"/>
      <c r="Y1197" s="10"/>
    </row>
    <row r="1198" spans="1:25" ht="16.5" customHeight="1" x14ac:dyDescent="0.2">
      <c r="A1198" s="413"/>
      <c r="B1198" s="414"/>
      <c r="C1198" s="33" t="s">
        <v>320</v>
      </c>
      <c r="D1198" s="148">
        <f>2.4*2+2.9*2</f>
        <v>10.6</v>
      </c>
      <c r="E1198" s="148"/>
      <c r="F1198" s="148">
        <f t="shared" si="62"/>
        <v>2.78</v>
      </c>
      <c r="G1198" s="148">
        <v>7</v>
      </c>
      <c r="H1198" s="148"/>
      <c r="I1198" s="176">
        <f>(1.2*1.2+0.7*2.1)*7</f>
        <v>20.37</v>
      </c>
      <c r="J1198" s="170">
        <f t="shared" si="57"/>
        <v>185.90599999999998</v>
      </c>
      <c r="L1198" s="10"/>
      <c r="M1198" s="10"/>
      <c r="N1198" s="10"/>
      <c r="O1198" s="10"/>
      <c r="P1198" s="10"/>
      <c r="Q1198" s="10"/>
      <c r="R1198" s="10"/>
      <c r="S1198" s="10"/>
      <c r="T1198" s="10"/>
      <c r="U1198" s="10"/>
      <c r="V1198" s="10"/>
      <c r="W1198" s="10"/>
      <c r="X1198" s="10"/>
      <c r="Y1198" s="10"/>
    </row>
    <row r="1199" spans="1:25" ht="16.5" customHeight="1" x14ac:dyDescent="0.2">
      <c r="A1199" s="413"/>
      <c r="B1199" s="414"/>
      <c r="C1199" s="33" t="s">
        <v>321</v>
      </c>
      <c r="D1199" s="148">
        <f>(2.4+5.23+2.4+2.03+1.05+1.2+1.05)</f>
        <v>15.360000000000001</v>
      </c>
      <c r="E1199" s="148"/>
      <c r="F1199" s="148">
        <v>2.78</v>
      </c>
      <c r="G1199" s="148">
        <v>7</v>
      </c>
      <c r="H1199" s="148"/>
      <c r="I1199" s="176">
        <f>(1.8*1.2+3*0.7*2.1+0.8*2.1)*7</f>
        <v>57.75</v>
      </c>
      <c r="J1199" s="170">
        <f t="shared" si="57"/>
        <v>241.15559999999999</v>
      </c>
      <c r="L1199" s="10"/>
      <c r="M1199" s="10"/>
      <c r="N1199" s="10"/>
      <c r="O1199" s="10"/>
      <c r="P1199" s="10"/>
      <c r="Q1199" s="10"/>
      <c r="R1199" s="10"/>
      <c r="S1199" s="10"/>
      <c r="T1199" s="10"/>
      <c r="U1199" s="10"/>
      <c r="V1199" s="10"/>
      <c r="W1199" s="10"/>
      <c r="X1199" s="10"/>
      <c r="Y1199" s="10"/>
    </row>
    <row r="1200" spans="1:25" ht="16.5" customHeight="1" x14ac:dyDescent="0.2">
      <c r="A1200" s="411"/>
      <c r="B1200" s="415"/>
      <c r="C1200" s="33" t="s">
        <v>322</v>
      </c>
      <c r="D1200" s="148"/>
      <c r="E1200" s="148"/>
      <c r="F1200" s="148"/>
      <c r="G1200" s="148">
        <v>7</v>
      </c>
      <c r="H1200" s="148">
        <v>39.57</v>
      </c>
      <c r="I1200" s="176"/>
      <c r="J1200" s="170">
        <f t="shared" si="57"/>
        <v>276.99</v>
      </c>
      <c r="L1200" s="10"/>
      <c r="M1200" s="10"/>
      <c r="N1200" s="10"/>
      <c r="O1200" s="10"/>
      <c r="P1200" s="10"/>
      <c r="Q1200" s="10"/>
      <c r="R1200" s="10"/>
      <c r="S1200" s="10"/>
      <c r="T1200" s="10"/>
      <c r="U1200" s="10"/>
      <c r="V1200" s="10"/>
      <c r="W1200" s="10"/>
      <c r="X1200" s="10"/>
      <c r="Y1200" s="10"/>
    </row>
    <row r="1201" spans="1:25" ht="16.5" customHeight="1" x14ac:dyDescent="0.2">
      <c r="A1201" s="413" t="s">
        <v>676</v>
      </c>
      <c r="B1201" s="414"/>
      <c r="C1201" s="33" t="s">
        <v>319</v>
      </c>
      <c r="D1201" s="148">
        <f>2.6*2+2.9*2</f>
        <v>11</v>
      </c>
      <c r="E1201" s="148"/>
      <c r="F1201" s="148">
        <v>2.78</v>
      </c>
      <c r="G1201" s="148">
        <v>7</v>
      </c>
      <c r="H1201" s="148"/>
      <c r="I1201" s="176">
        <f>(1.2*1.2+0.7*2.1)*7</f>
        <v>20.37</v>
      </c>
      <c r="J1201" s="170">
        <f t="shared" si="57"/>
        <v>193.69</v>
      </c>
      <c r="L1201" s="10"/>
      <c r="M1201" s="10"/>
      <c r="N1201" s="10"/>
      <c r="O1201" s="10"/>
      <c r="P1201" s="10"/>
      <c r="Q1201" s="10"/>
      <c r="R1201" s="10"/>
      <c r="S1201" s="10"/>
      <c r="T1201" s="10"/>
      <c r="U1201" s="10"/>
      <c r="V1201" s="10"/>
      <c r="W1201" s="10"/>
      <c r="X1201" s="10"/>
      <c r="Y1201" s="10"/>
    </row>
    <row r="1202" spans="1:25" ht="16.5" customHeight="1" x14ac:dyDescent="0.2">
      <c r="A1202" s="413"/>
      <c r="B1202" s="414"/>
      <c r="C1202" s="33" t="s">
        <v>320</v>
      </c>
      <c r="D1202" s="148">
        <f>2.4*2+2.9*2</f>
        <v>10.6</v>
      </c>
      <c r="E1202" s="148"/>
      <c r="F1202" s="148">
        <v>2.78</v>
      </c>
      <c r="G1202" s="148">
        <v>7</v>
      </c>
      <c r="H1202" s="148"/>
      <c r="I1202" s="176">
        <f>(1.2*1.2+0.7*2.1)*7</f>
        <v>20.37</v>
      </c>
      <c r="J1202" s="170">
        <f t="shared" si="57"/>
        <v>185.90599999999998</v>
      </c>
      <c r="L1202" s="10"/>
      <c r="M1202" s="10"/>
      <c r="N1202" s="10"/>
      <c r="O1202" s="10"/>
      <c r="P1202" s="10"/>
      <c r="Q1202" s="10"/>
      <c r="R1202" s="10"/>
      <c r="S1202" s="10"/>
      <c r="T1202" s="10"/>
      <c r="U1202" s="10"/>
      <c r="V1202" s="10"/>
      <c r="W1202" s="10"/>
      <c r="X1202" s="10"/>
      <c r="Y1202" s="10"/>
    </row>
    <row r="1203" spans="1:25" ht="16.5" customHeight="1" x14ac:dyDescent="0.2">
      <c r="A1203" s="413"/>
      <c r="B1203" s="414"/>
      <c r="C1203" s="33" t="s">
        <v>321</v>
      </c>
      <c r="D1203" s="148">
        <f>(2.4+5.23+2.4+2.03+1.05+1.2+1.05)</f>
        <v>15.360000000000001</v>
      </c>
      <c r="E1203" s="148"/>
      <c r="F1203" s="148">
        <v>2.78</v>
      </c>
      <c r="G1203" s="148">
        <v>7</v>
      </c>
      <c r="H1203" s="148"/>
      <c r="I1203" s="176">
        <f>(1.8*1.2+3*0.7*2.1+0.8*2.1)*7</f>
        <v>57.75</v>
      </c>
      <c r="J1203" s="170">
        <f t="shared" si="57"/>
        <v>241.15559999999999</v>
      </c>
      <c r="L1203" s="10"/>
      <c r="M1203" s="10"/>
      <c r="N1203" s="10"/>
      <c r="O1203" s="10"/>
      <c r="P1203" s="10"/>
      <c r="Q1203" s="10"/>
      <c r="R1203" s="10"/>
      <c r="S1203" s="10"/>
      <c r="T1203" s="10"/>
      <c r="U1203" s="10"/>
      <c r="V1203" s="10"/>
      <c r="W1203" s="10"/>
      <c r="X1203" s="10"/>
      <c r="Y1203" s="10"/>
    </row>
    <row r="1204" spans="1:25" ht="16.5" customHeight="1" x14ac:dyDescent="0.2">
      <c r="A1204" s="411"/>
      <c r="B1204" s="415"/>
      <c r="C1204" s="33" t="s">
        <v>322</v>
      </c>
      <c r="D1204" s="148"/>
      <c r="E1204" s="148"/>
      <c r="F1204" s="148"/>
      <c r="G1204" s="148">
        <v>7</v>
      </c>
      <c r="H1204" s="148">
        <v>39.57</v>
      </c>
      <c r="I1204" s="176"/>
      <c r="J1204" s="170">
        <f t="shared" si="57"/>
        <v>276.99</v>
      </c>
      <c r="L1204" s="10"/>
      <c r="M1204" s="10"/>
      <c r="N1204" s="10"/>
      <c r="O1204" s="10"/>
      <c r="P1204" s="10"/>
      <c r="Q1204" s="10"/>
      <c r="R1204" s="10"/>
      <c r="S1204" s="10"/>
      <c r="T1204" s="10"/>
      <c r="U1204" s="10"/>
      <c r="V1204" s="10"/>
      <c r="W1204" s="10"/>
      <c r="X1204" s="10"/>
      <c r="Y1204" s="10"/>
    </row>
    <row r="1205" spans="1:25" ht="16.5" customHeight="1" x14ac:dyDescent="0.2">
      <c r="A1205" s="413" t="s">
        <v>677</v>
      </c>
      <c r="B1205" s="414"/>
      <c r="C1205" s="33" t="s">
        <v>319</v>
      </c>
      <c r="D1205" s="148">
        <f>2.6*2+2.9*2</f>
        <v>11</v>
      </c>
      <c r="E1205" s="148"/>
      <c r="F1205" s="148">
        <v>2.78</v>
      </c>
      <c r="G1205" s="148">
        <v>7</v>
      </c>
      <c r="H1205" s="148"/>
      <c r="I1205" s="176">
        <f>(1.2*1.2+0.7*2.1)*7</f>
        <v>20.37</v>
      </c>
      <c r="J1205" s="170">
        <f t="shared" si="57"/>
        <v>193.69</v>
      </c>
      <c r="L1205" s="10"/>
      <c r="M1205" s="10"/>
      <c r="N1205" s="10"/>
      <c r="O1205" s="10"/>
      <c r="P1205" s="10"/>
      <c r="Q1205" s="10"/>
      <c r="R1205" s="10"/>
      <c r="S1205" s="10"/>
      <c r="T1205" s="10"/>
      <c r="U1205" s="10"/>
      <c r="V1205" s="10"/>
      <c r="W1205" s="10"/>
      <c r="X1205" s="10"/>
      <c r="Y1205" s="10"/>
    </row>
    <row r="1206" spans="1:25" ht="16.5" customHeight="1" x14ac:dyDescent="0.2">
      <c r="A1206" s="413"/>
      <c r="B1206" s="414"/>
      <c r="C1206" s="33" t="s">
        <v>320</v>
      </c>
      <c r="D1206" s="148">
        <f>2.4*2+2.9*2</f>
        <v>10.6</v>
      </c>
      <c r="E1206" s="148"/>
      <c r="F1206" s="148">
        <v>2.78</v>
      </c>
      <c r="G1206" s="148">
        <v>7</v>
      </c>
      <c r="H1206" s="148"/>
      <c r="I1206" s="176">
        <f>(1.2*1.2+0.7*2.1)*7</f>
        <v>20.37</v>
      </c>
      <c r="J1206" s="170">
        <f t="shared" si="57"/>
        <v>185.90599999999998</v>
      </c>
      <c r="L1206" s="10"/>
      <c r="M1206" s="10"/>
      <c r="N1206" s="10"/>
      <c r="O1206" s="10"/>
      <c r="P1206" s="10"/>
      <c r="Q1206" s="10"/>
      <c r="R1206" s="10"/>
      <c r="S1206" s="10"/>
      <c r="T1206" s="10"/>
      <c r="U1206" s="10"/>
      <c r="V1206" s="10"/>
      <c r="W1206" s="10"/>
      <c r="X1206" s="10"/>
      <c r="Y1206" s="10"/>
    </row>
    <row r="1207" spans="1:25" ht="16.5" customHeight="1" x14ac:dyDescent="0.2">
      <c r="A1207" s="413"/>
      <c r="B1207" s="414"/>
      <c r="C1207" s="33" t="s">
        <v>321</v>
      </c>
      <c r="D1207" s="148">
        <f>(2.4+5.23+2.4+2.03+1.05+1.2+1.05)</f>
        <v>15.360000000000001</v>
      </c>
      <c r="E1207" s="148"/>
      <c r="F1207" s="148">
        <v>2.78</v>
      </c>
      <c r="G1207" s="148">
        <v>7</v>
      </c>
      <c r="H1207" s="148"/>
      <c r="I1207" s="176">
        <f>(1.8*1.2+3*0.7*2.1+0.8*2.1)*7</f>
        <v>57.75</v>
      </c>
      <c r="J1207" s="170">
        <f t="shared" si="57"/>
        <v>241.15559999999999</v>
      </c>
      <c r="L1207" s="10"/>
      <c r="M1207" s="10"/>
      <c r="N1207" s="10"/>
      <c r="O1207" s="10"/>
      <c r="P1207" s="10"/>
      <c r="Q1207" s="10"/>
      <c r="R1207" s="10"/>
      <c r="S1207" s="10"/>
      <c r="T1207" s="10"/>
      <c r="U1207" s="10"/>
      <c r="V1207" s="10"/>
      <c r="W1207" s="10"/>
      <c r="X1207" s="10"/>
      <c r="Y1207" s="10"/>
    </row>
    <row r="1208" spans="1:25" ht="16.5" customHeight="1" x14ac:dyDescent="0.2">
      <c r="A1208" s="411"/>
      <c r="B1208" s="415"/>
      <c r="C1208" s="33" t="s">
        <v>322</v>
      </c>
      <c r="D1208" s="148"/>
      <c r="E1208" s="148"/>
      <c r="F1208" s="148"/>
      <c r="G1208" s="148">
        <v>7</v>
      </c>
      <c r="H1208" s="148">
        <v>39.57</v>
      </c>
      <c r="I1208" s="176"/>
      <c r="J1208" s="170">
        <f t="shared" si="57"/>
        <v>276.99</v>
      </c>
      <c r="L1208" s="10"/>
      <c r="M1208" s="10"/>
      <c r="N1208" s="10"/>
      <c r="O1208" s="10"/>
      <c r="P1208" s="10"/>
      <c r="Q1208" s="10"/>
      <c r="R1208" s="10"/>
      <c r="S1208" s="10"/>
      <c r="T1208" s="10"/>
      <c r="U1208" s="10"/>
      <c r="V1208" s="10"/>
      <c r="W1208" s="10"/>
      <c r="X1208" s="10"/>
      <c r="Y1208" s="10"/>
    </row>
    <row r="1209" spans="1:25" ht="16.5" customHeight="1" x14ac:dyDescent="0.2">
      <c r="A1209" s="413" t="s">
        <v>678</v>
      </c>
      <c r="B1209" s="414"/>
      <c r="C1209" s="33" t="s">
        <v>319</v>
      </c>
      <c r="D1209" s="148">
        <f>2.6*2+2.9*2</f>
        <v>11</v>
      </c>
      <c r="E1209" s="148"/>
      <c r="F1209" s="148">
        <v>2.78</v>
      </c>
      <c r="G1209" s="148">
        <v>7</v>
      </c>
      <c r="H1209" s="148"/>
      <c r="I1209" s="176">
        <f>(1.2*1.2+0.7*2.1)*7</f>
        <v>20.37</v>
      </c>
      <c r="J1209" s="170">
        <f t="shared" si="57"/>
        <v>193.69</v>
      </c>
      <c r="L1209" s="10"/>
      <c r="M1209" s="10"/>
      <c r="N1209" s="10"/>
      <c r="O1209" s="10"/>
      <c r="P1209" s="10"/>
      <c r="Q1209" s="10"/>
      <c r="R1209" s="10"/>
      <c r="S1209" s="10"/>
      <c r="T1209" s="10"/>
      <c r="U1209" s="10"/>
      <c r="V1209" s="10"/>
      <c r="W1209" s="10"/>
      <c r="X1209" s="10"/>
      <c r="Y1209" s="10"/>
    </row>
    <row r="1210" spans="1:25" ht="16.5" customHeight="1" x14ac:dyDescent="0.2">
      <c r="A1210" s="413"/>
      <c r="B1210" s="414"/>
      <c r="C1210" s="33" t="s">
        <v>320</v>
      </c>
      <c r="D1210" s="148">
        <f>2.4*2+2.9*2</f>
        <v>10.6</v>
      </c>
      <c r="E1210" s="148"/>
      <c r="F1210" s="148">
        <v>2.78</v>
      </c>
      <c r="G1210" s="148">
        <v>7</v>
      </c>
      <c r="H1210" s="148"/>
      <c r="I1210" s="176">
        <f>(1.2*1.2+0.7*2.1)*7</f>
        <v>20.37</v>
      </c>
      <c r="J1210" s="170">
        <f t="shared" si="57"/>
        <v>185.90599999999998</v>
      </c>
      <c r="L1210" s="10"/>
      <c r="M1210" s="10"/>
      <c r="N1210" s="10"/>
      <c r="O1210" s="10"/>
      <c r="P1210" s="10"/>
      <c r="Q1210" s="10"/>
      <c r="R1210" s="10"/>
      <c r="S1210" s="10"/>
      <c r="T1210" s="10"/>
      <c r="U1210" s="10"/>
      <c r="V1210" s="10"/>
      <c r="W1210" s="10"/>
      <c r="X1210" s="10"/>
      <c r="Y1210" s="10"/>
    </row>
    <row r="1211" spans="1:25" ht="16.5" customHeight="1" x14ac:dyDescent="0.2">
      <c r="A1211" s="413"/>
      <c r="B1211" s="414"/>
      <c r="C1211" s="33" t="s">
        <v>321</v>
      </c>
      <c r="D1211" s="148">
        <f>(2.4+5.23+2.4+2.03+1.05+1.2+1.05)</f>
        <v>15.360000000000001</v>
      </c>
      <c r="E1211" s="148"/>
      <c r="F1211" s="148">
        <v>2.78</v>
      </c>
      <c r="G1211" s="148">
        <v>7</v>
      </c>
      <c r="H1211" s="148"/>
      <c r="I1211" s="176">
        <f>(1.8*1.2+3*0.7*2.1+0.8*2.1)*7</f>
        <v>57.75</v>
      </c>
      <c r="J1211" s="170">
        <f t="shared" si="57"/>
        <v>241.15559999999999</v>
      </c>
      <c r="L1211" s="10"/>
      <c r="M1211" s="10"/>
      <c r="N1211" s="10"/>
      <c r="O1211" s="10"/>
      <c r="P1211" s="10"/>
      <c r="Q1211" s="10"/>
      <c r="R1211" s="10"/>
      <c r="S1211" s="10"/>
      <c r="T1211" s="10"/>
      <c r="U1211" s="10"/>
      <c r="V1211" s="10"/>
      <c r="W1211" s="10"/>
      <c r="X1211" s="10"/>
      <c r="Y1211" s="10"/>
    </row>
    <row r="1212" spans="1:25" ht="16.5" customHeight="1" x14ac:dyDescent="0.2">
      <c r="A1212" s="411"/>
      <c r="B1212" s="415"/>
      <c r="C1212" s="33" t="s">
        <v>322</v>
      </c>
      <c r="D1212" s="148"/>
      <c r="E1212" s="148"/>
      <c r="F1212" s="148"/>
      <c r="G1212" s="148">
        <v>7</v>
      </c>
      <c r="H1212" s="148">
        <v>39.57</v>
      </c>
      <c r="I1212" s="176"/>
      <c r="J1212" s="170">
        <f t="shared" si="57"/>
        <v>276.99</v>
      </c>
      <c r="L1212" s="10"/>
      <c r="M1212" s="10"/>
      <c r="N1212" s="10"/>
      <c r="O1212" s="10"/>
      <c r="P1212" s="10"/>
      <c r="Q1212" s="10"/>
      <c r="R1212" s="10"/>
      <c r="S1212" s="10"/>
      <c r="T1212" s="10"/>
      <c r="U1212" s="10"/>
      <c r="V1212" s="10"/>
      <c r="W1212" s="10"/>
      <c r="X1212" s="10"/>
      <c r="Y1212" s="10"/>
    </row>
    <row r="1213" spans="1:25" ht="16.5" customHeight="1" x14ac:dyDescent="0.2">
      <c r="A1213" s="409" t="s">
        <v>785</v>
      </c>
      <c r="B1213" s="410"/>
      <c r="C1213" s="33" t="s">
        <v>322</v>
      </c>
      <c r="D1213" s="148"/>
      <c r="E1213" s="148"/>
      <c r="F1213" s="148"/>
      <c r="G1213" s="148">
        <v>7</v>
      </c>
      <c r="H1213" s="148">
        <f>ROUND(4.44*4.63,2)</f>
        <v>20.56</v>
      </c>
      <c r="I1213" s="175"/>
      <c r="J1213" s="170">
        <f t="shared" si="57"/>
        <v>143.91999999999999</v>
      </c>
      <c r="L1213" s="10"/>
      <c r="M1213" s="10"/>
      <c r="N1213" s="10"/>
      <c r="O1213" s="10"/>
      <c r="P1213" s="10"/>
      <c r="Q1213" s="10"/>
      <c r="R1213" s="10"/>
      <c r="S1213" s="10"/>
      <c r="T1213" s="10"/>
      <c r="U1213" s="10"/>
      <c r="V1213" s="10"/>
      <c r="W1213" s="10"/>
      <c r="X1213" s="10"/>
      <c r="Y1213" s="10"/>
    </row>
    <row r="1214" spans="1:25" ht="16.5" customHeight="1" x14ac:dyDescent="0.2">
      <c r="A1214" s="411"/>
      <c r="B1214" s="412"/>
      <c r="C1214" s="33" t="s">
        <v>323</v>
      </c>
      <c r="D1214" s="148">
        <f>4.44*2+4.63*2+2.03+0.87*2+0.15*2+0.72*2+1.74</f>
        <v>25.39</v>
      </c>
      <c r="E1214" s="148"/>
      <c r="F1214" s="148">
        <v>2.78</v>
      </c>
      <c r="G1214" s="148">
        <v>7</v>
      </c>
      <c r="H1214" s="148"/>
      <c r="I1214" s="176">
        <f>(4*0.8*2.1+2*0.6*1.2+0.8*1.6)*7</f>
        <v>66.080000000000013</v>
      </c>
      <c r="J1214" s="170">
        <f t="shared" si="57"/>
        <v>428.00939999999991</v>
      </c>
      <c r="L1214" s="10"/>
      <c r="M1214" s="10"/>
      <c r="N1214" s="10"/>
      <c r="O1214" s="10"/>
      <c r="P1214" s="10"/>
      <c r="Q1214" s="10"/>
      <c r="R1214" s="10"/>
      <c r="S1214" s="10"/>
      <c r="T1214" s="10"/>
      <c r="U1214" s="10"/>
      <c r="V1214" s="10"/>
      <c r="W1214" s="10"/>
      <c r="X1214" s="10"/>
      <c r="Y1214" s="10"/>
    </row>
    <row r="1215" spans="1:25" ht="16.5" customHeight="1" x14ac:dyDescent="0.2">
      <c r="A1215" s="413" t="s">
        <v>679</v>
      </c>
      <c r="B1215" s="414"/>
      <c r="C1215" s="33" t="s">
        <v>319</v>
      </c>
      <c r="D1215" s="148">
        <f>2.6*2+2.9*2</f>
        <v>11</v>
      </c>
      <c r="E1215" s="148"/>
      <c r="F1215" s="148">
        <v>2.78</v>
      </c>
      <c r="G1215" s="148">
        <v>7</v>
      </c>
      <c r="H1215" s="148"/>
      <c r="I1215" s="176">
        <f>(1.2*1.2+0.7*2.1)*7</f>
        <v>20.37</v>
      </c>
      <c r="J1215" s="170">
        <f t="shared" si="57"/>
        <v>193.69</v>
      </c>
      <c r="L1215" s="10"/>
      <c r="M1215" s="10"/>
      <c r="N1215" s="10"/>
      <c r="O1215" s="10"/>
      <c r="P1215" s="10"/>
      <c r="Q1215" s="10"/>
      <c r="R1215" s="10"/>
      <c r="S1215" s="10"/>
      <c r="T1215" s="10"/>
      <c r="U1215" s="10"/>
      <c r="V1215" s="10"/>
      <c r="W1215" s="10"/>
      <c r="X1215" s="10"/>
      <c r="Y1215" s="10"/>
    </row>
    <row r="1216" spans="1:25" ht="16.5" customHeight="1" x14ac:dyDescent="0.2">
      <c r="A1216" s="413"/>
      <c r="B1216" s="414"/>
      <c r="C1216" s="33" t="s">
        <v>320</v>
      </c>
      <c r="D1216" s="148">
        <f>2.4*2+2.9*2</f>
        <v>10.6</v>
      </c>
      <c r="E1216" s="148"/>
      <c r="F1216" s="148">
        <v>2.78</v>
      </c>
      <c r="G1216" s="148">
        <v>7</v>
      </c>
      <c r="H1216" s="148"/>
      <c r="I1216" s="176">
        <f>(1.2*1.2+0.7*2.1)*7</f>
        <v>20.37</v>
      </c>
      <c r="J1216" s="170">
        <f t="shared" si="57"/>
        <v>185.90599999999998</v>
      </c>
      <c r="L1216" s="10"/>
      <c r="M1216" s="10"/>
      <c r="N1216" s="10"/>
      <c r="O1216" s="10"/>
      <c r="P1216" s="10"/>
      <c r="Q1216" s="10"/>
      <c r="R1216" s="10"/>
      <c r="S1216" s="10"/>
      <c r="T1216" s="10"/>
      <c r="U1216" s="10"/>
      <c r="V1216" s="10"/>
      <c r="W1216" s="10"/>
      <c r="X1216" s="10"/>
      <c r="Y1216" s="10"/>
    </row>
    <row r="1217" spans="1:25" ht="16.5" customHeight="1" x14ac:dyDescent="0.2">
      <c r="A1217" s="413"/>
      <c r="B1217" s="414"/>
      <c r="C1217" s="33" t="s">
        <v>321</v>
      </c>
      <c r="D1217" s="148">
        <f>(2.4+5.23+2.4+2.03+1.05+1.2+1.05)</f>
        <v>15.360000000000001</v>
      </c>
      <c r="E1217" s="148"/>
      <c r="F1217" s="148">
        <v>2.78</v>
      </c>
      <c r="G1217" s="148">
        <v>7</v>
      </c>
      <c r="H1217" s="148"/>
      <c r="I1217" s="176">
        <f>(1.8*1.2+3*0.7*2.1+0.8*2.1)*7</f>
        <v>57.75</v>
      </c>
      <c r="J1217" s="170">
        <f t="shared" si="57"/>
        <v>241.15559999999999</v>
      </c>
      <c r="L1217" s="10"/>
      <c r="M1217" s="10"/>
      <c r="N1217" s="10"/>
      <c r="O1217" s="10"/>
      <c r="P1217" s="10"/>
      <c r="Q1217" s="10"/>
      <c r="R1217" s="10"/>
      <c r="S1217" s="10"/>
      <c r="T1217" s="10"/>
      <c r="U1217" s="10"/>
      <c r="V1217" s="10"/>
      <c r="W1217" s="10"/>
      <c r="X1217" s="10"/>
      <c r="Y1217" s="10"/>
    </row>
    <row r="1218" spans="1:25" ht="16.5" customHeight="1" x14ac:dyDescent="0.2">
      <c r="A1218" s="411"/>
      <c r="B1218" s="415"/>
      <c r="C1218" s="33" t="s">
        <v>322</v>
      </c>
      <c r="D1218" s="148"/>
      <c r="E1218" s="148"/>
      <c r="F1218" s="148"/>
      <c r="G1218" s="148">
        <v>7</v>
      </c>
      <c r="H1218" s="148">
        <v>39.57</v>
      </c>
      <c r="I1218" s="176"/>
      <c r="J1218" s="170">
        <f t="shared" si="57"/>
        <v>276.99</v>
      </c>
      <c r="L1218" s="10"/>
      <c r="M1218" s="10"/>
      <c r="N1218" s="10"/>
      <c r="O1218" s="10"/>
      <c r="P1218" s="10"/>
      <c r="Q1218" s="10"/>
      <c r="R1218" s="10"/>
      <c r="S1218" s="10"/>
      <c r="T1218" s="10"/>
      <c r="U1218" s="10"/>
      <c r="V1218" s="10"/>
      <c r="W1218" s="10"/>
      <c r="X1218" s="10"/>
      <c r="Y1218" s="10"/>
    </row>
    <row r="1219" spans="1:25" ht="16.5" customHeight="1" x14ac:dyDescent="0.2">
      <c r="A1219" s="413" t="s">
        <v>769</v>
      </c>
      <c r="B1219" s="414"/>
      <c r="C1219" s="33" t="s">
        <v>319</v>
      </c>
      <c r="D1219" s="148">
        <f>2.6*2+2.9*2</f>
        <v>11</v>
      </c>
      <c r="E1219" s="148"/>
      <c r="F1219" s="148">
        <v>2.78</v>
      </c>
      <c r="G1219" s="148">
        <v>7</v>
      </c>
      <c r="H1219" s="148"/>
      <c r="I1219" s="176">
        <f>(1.2*1.2+0.7*2.1)*7</f>
        <v>20.37</v>
      </c>
      <c r="J1219" s="170">
        <f t="shared" si="57"/>
        <v>193.69</v>
      </c>
      <c r="L1219" s="10"/>
      <c r="M1219" s="10"/>
      <c r="N1219" s="10"/>
      <c r="O1219" s="10"/>
      <c r="P1219" s="10"/>
      <c r="Q1219" s="10"/>
      <c r="R1219" s="10"/>
      <c r="S1219" s="10"/>
      <c r="T1219" s="10"/>
      <c r="U1219" s="10"/>
      <c r="V1219" s="10"/>
      <c r="W1219" s="10"/>
      <c r="X1219" s="10"/>
      <c r="Y1219" s="10"/>
    </row>
    <row r="1220" spans="1:25" ht="16.5" customHeight="1" x14ac:dyDescent="0.2">
      <c r="A1220" s="413"/>
      <c r="B1220" s="414"/>
      <c r="C1220" s="33" t="s">
        <v>320</v>
      </c>
      <c r="D1220" s="148">
        <f>2.4*2+2.9*2</f>
        <v>10.6</v>
      </c>
      <c r="E1220" s="148"/>
      <c r="F1220" s="148">
        <v>2.78</v>
      </c>
      <c r="G1220" s="148">
        <v>7</v>
      </c>
      <c r="H1220" s="148"/>
      <c r="I1220" s="176">
        <f>(1.2*1.2+0.7*2.1)*7</f>
        <v>20.37</v>
      </c>
      <c r="J1220" s="170">
        <f t="shared" si="57"/>
        <v>185.90599999999998</v>
      </c>
      <c r="L1220" s="10"/>
      <c r="M1220" s="10"/>
      <c r="N1220" s="10"/>
      <c r="O1220" s="10"/>
      <c r="P1220" s="10"/>
      <c r="Q1220" s="10"/>
      <c r="R1220" s="10"/>
      <c r="S1220" s="10"/>
      <c r="T1220" s="10"/>
      <c r="U1220" s="10"/>
      <c r="V1220" s="10"/>
      <c r="W1220" s="10"/>
      <c r="X1220" s="10"/>
      <c r="Y1220" s="10"/>
    </row>
    <row r="1221" spans="1:25" ht="16.5" customHeight="1" x14ac:dyDescent="0.2">
      <c r="A1221" s="413"/>
      <c r="B1221" s="414"/>
      <c r="C1221" s="33" t="s">
        <v>321</v>
      </c>
      <c r="D1221" s="148">
        <f>(2.4+5.23+2.4+2.03+1.05+1.2+1.05)</f>
        <v>15.360000000000001</v>
      </c>
      <c r="E1221" s="148"/>
      <c r="F1221" s="148">
        <v>2.78</v>
      </c>
      <c r="G1221" s="148">
        <v>7</v>
      </c>
      <c r="H1221" s="148"/>
      <c r="I1221" s="176">
        <f>(1.8*1.2+3*0.7*2.1+0.8*2.1)*7</f>
        <v>57.75</v>
      </c>
      <c r="J1221" s="170">
        <f t="shared" si="57"/>
        <v>241.15559999999999</v>
      </c>
      <c r="L1221" s="10"/>
      <c r="M1221" s="10"/>
      <c r="N1221" s="10"/>
      <c r="O1221" s="10"/>
      <c r="P1221" s="10"/>
      <c r="Q1221" s="10"/>
      <c r="R1221" s="10"/>
      <c r="S1221" s="10"/>
      <c r="T1221" s="10"/>
      <c r="U1221" s="10"/>
      <c r="V1221" s="10"/>
      <c r="W1221" s="10"/>
      <c r="X1221" s="10"/>
      <c r="Y1221" s="10"/>
    </row>
    <row r="1222" spans="1:25" ht="16.5" customHeight="1" x14ac:dyDescent="0.2">
      <c r="A1222" s="411"/>
      <c r="B1222" s="415"/>
      <c r="C1222" s="33" t="s">
        <v>322</v>
      </c>
      <c r="D1222" s="148"/>
      <c r="E1222" s="148"/>
      <c r="F1222" s="148"/>
      <c r="G1222" s="148">
        <v>7</v>
      </c>
      <c r="H1222" s="148">
        <v>39.57</v>
      </c>
      <c r="I1222" s="176"/>
      <c r="J1222" s="170">
        <f t="shared" si="57"/>
        <v>276.99</v>
      </c>
      <c r="L1222" s="10"/>
      <c r="M1222" s="10"/>
      <c r="N1222" s="10"/>
      <c r="O1222" s="10"/>
      <c r="P1222" s="10"/>
      <c r="Q1222" s="10"/>
      <c r="R1222" s="10"/>
      <c r="S1222" s="10"/>
      <c r="T1222" s="10"/>
      <c r="U1222" s="10"/>
      <c r="V1222" s="10"/>
      <c r="W1222" s="10"/>
      <c r="X1222" s="10"/>
      <c r="Y1222" s="10"/>
    </row>
    <row r="1223" spans="1:25" ht="16.5" customHeight="1" x14ac:dyDescent="0.2">
      <c r="A1223" s="413" t="s">
        <v>681</v>
      </c>
      <c r="B1223" s="414"/>
      <c r="C1223" s="33" t="s">
        <v>319</v>
      </c>
      <c r="D1223" s="148">
        <f>2.6*2+2.9*2</f>
        <v>11</v>
      </c>
      <c r="E1223" s="148"/>
      <c r="F1223" s="148">
        <v>2.78</v>
      </c>
      <c r="G1223" s="148">
        <v>7</v>
      </c>
      <c r="H1223" s="148"/>
      <c r="I1223" s="176">
        <f>(1.2*1.2+0.7*2.1)*7</f>
        <v>20.37</v>
      </c>
      <c r="J1223" s="170">
        <f t="shared" si="57"/>
        <v>193.69</v>
      </c>
      <c r="L1223" s="10"/>
      <c r="M1223" s="10"/>
      <c r="N1223" s="10"/>
      <c r="O1223" s="10"/>
      <c r="P1223" s="10"/>
      <c r="Q1223" s="10"/>
      <c r="R1223" s="10"/>
      <c r="S1223" s="10"/>
      <c r="T1223" s="10"/>
      <c r="U1223" s="10"/>
      <c r="V1223" s="10"/>
      <c r="W1223" s="10"/>
      <c r="X1223" s="10"/>
      <c r="Y1223" s="10"/>
    </row>
    <row r="1224" spans="1:25" ht="16.5" customHeight="1" x14ac:dyDescent="0.2">
      <c r="A1224" s="413"/>
      <c r="B1224" s="414"/>
      <c r="C1224" s="33" t="s">
        <v>320</v>
      </c>
      <c r="D1224" s="148">
        <f>2.4*2+2.9*2</f>
        <v>10.6</v>
      </c>
      <c r="E1224" s="148"/>
      <c r="F1224" s="148">
        <v>2.78</v>
      </c>
      <c r="G1224" s="148">
        <v>7</v>
      </c>
      <c r="H1224" s="148"/>
      <c r="I1224" s="176">
        <f>(1.2*1.2+0.7*2.1)*7</f>
        <v>20.37</v>
      </c>
      <c r="J1224" s="170">
        <f t="shared" si="57"/>
        <v>185.90599999999998</v>
      </c>
      <c r="L1224" s="10"/>
      <c r="M1224" s="10"/>
      <c r="N1224" s="10"/>
      <c r="O1224" s="10"/>
      <c r="P1224" s="10"/>
      <c r="Q1224" s="10"/>
      <c r="R1224" s="10"/>
      <c r="S1224" s="10"/>
      <c r="T1224" s="10"/>
      <c r="U1224" s="10"/>
      <c r="V1224" s="10"/>
      <c r="W1224" s="10"/>
      <c r="X1224" s="10"/>
      <c r="Y1224" s="10"/>
    </row>
    <row r="1225" spans="1:25" ht="16.5" customHeight="1" x14ac:dyDescent="0.2">
      <c r="A1225" s="413"/>
      <c r="B1225" s="414"/>
      <c r="C1225" s="33" t="s">
        <v>321</v>
      </c>
      <c r="D1225" s="148">
        <f>(2.4+5.23+2.4+2.03+1.05+1.2+1.05)</f>
        <v>15.360000000000001</v>
      </c>
      <c r="E1225" s="148"/>
      <c r="F1225" s="148">
        <v>2.78</v>
      </c>
      <c r="G1225" s="148">
        <v>7</v>
      </c>
      <c r="H1225" s="148"/>
      <c r="I1225" s="176">
        <f>(1.8*1.2+3*0.7*2.1+0.8*2.1)*7</f>
        <v>57.75</v>
      </c>
      <c r="J1225" s="170">
        <f t="shared" si="57"/>
        <v>241.15559999999999</v>
      </c>
      <c r="L1225" s="10"/>
      <c r="M1225" s="10"/>
      <c r="N1225" s="10"/>
      <c r="O1225" s="10"/>
      <c r="P1225" s="10"/>
      <c r="Q1225" s="10"/>
      <c r="R1225" s="10"/>
      <c r="S1225" s="10"/>
      <c r="T1225" s="10"/>
      <c r="U1225" s="10"/>
      <c r="V1225" s="10"/>
      <c r="W1225" s="10"/>
      <c r="X1225" s="10"/>
      <c r="Y1225" s="10"/>
    </row>
    <row r="1226" spans="1:25" ht="16.5" customHeight="1" x14ac:dyDescent="0.2">
      <c r="A1226" s="411"/>
      <c r="B1226" s="415"/>
      <c r="C1226" s="33" t="s">
        <v>322</v>
      </c>
      <c r="D1226" s="148"/>
      <c r="E1226" s="148"/>
      <c r="F1226" s="148"/>
      <c r="G1226" s="148">
        <v>7</v>
      </c>
      <c r="H1226" s="148">
        <v>39.57</v>
      </c>
      <c r="I1226" s="176"/>
      <c r="J1226" s="170">
        <f t="shared" si="57"/>
        <v>276.99</v>
      </c>
      <c r="L1226" s="10"/>
      <c r="M1226" s="10"/>
      <c r="N1226" s="10"/>
      <c r="O1226" s="10"/>
      <c r="P1226" s="10"/>
      <c r="Q1226" s="10"/>
      <c r="R1226" s="10"/>
      <c r="S1226" s="10"/>
      <c r="T1226" s="10"/>
      <c r="U1226" s="10"/>
      <c r="V1226" s="10"/>
      <c r="W1226" s="10"/>
      <c r="X1226" s="10"/>
      <c r="Y1226" s="10"/>
    </row>
    <row r="1227" spans="1:25" ht="16.5" customHeight="1" x14ac:dyDescent="0.2">
      <c r="A1227" s="413" t="s">
        <v>682</v>
      </c>
      <c r="B1227" s="414"/>
      <c r="C1227" s="33" t="s">
        <v>319</v>
      </c>
      <c r="D1227" s="148">
        <f>2.6*2+2.9*2</f>
        <v>11</v>
      </c>
      <c r="E1227" s="148"/>
      <c r="F1227" s="148">
        <v>2.78</v>
      </c>
      <c r="G1227" s="148">
        <v>7</v>
      </c>
      <c r="H1227" s="148"/>
      <c r="I1227" s="176">
        <f>(1.2*1.2+0.7*2.1)*7</f>
        <v>20.37</v>
      </c>
      <c r="J1227" s="170">
        <f t="shared" si="57"/>
        <v>193.69</v>
      </c>
      <c r="L1227" s="10"/>
      <c r="M1227" s="10"/>
      <c r="N1227" s="10"/>
      <c r="O1227" s="10"/>
      <c r="P1227" s="10"/>
      <c r="Q1227" s="10"/>
      <c r="R1227" s="10"/>
      <c r="S1227" s="10"/>
      <c r="T1227" s="10"/>
      <c r="U1227" s="10"/>
      <c r="V1227" s="10"/>
      <c r="W1227" s="10"/>
      <c r="X1227" s="10"/>
      <c r="Y1227" s="10"/>
    </row>
    <row r="1228" spans="1:25" ht="16.5" customHeight="1" x14ac:dyDescent="0.2">
      <c r="A1228" s="413"/>
      <c r="B1228" s="414"/>
      <c r="C1228" s="33" t="s">
        <v>320</v>
      </c>
      <c r="D1228" s="148">
        <f>2.4*2+2.9*2</f>
        <v>10.6</v>
      </c>
      <c r="E1228" s="148"/>
      <c r="F1228" s="148">
        <v>2.78</v>
      </c>
      <c r="G1228" s="148">
        <v>7</v>
      </c>
      <c r="H1228" s="148"/>
      <c r="I1228" s="176">
        <f>(1.2*1.2+0.7*2.1)*7</f>
        <v>20.37</v>
      </c>
      <c r="J1228" s="170">
        <f t="shared" si="57"/>
        <v>185.90599999999998</v>
      </c>
      <c r="L1228" s="10"/>
      <c r="M1228" s="10"/>
      <c r="N1228" s="10"/>
      <c r="O1228" s="10"/>
      <c r="P1228" s="10"/>
      <c r="Q1228" s="10"/>
      <c r="R1228" s="10"/>
      <c r="S1228" s="10"/>
      <c r="T1228" s="10"/>
      <c r="U1228" s="10"/>
      <c r="V1228" s="10"/>
      <c r="W1228" s="10"/>
      <c r="X1228" s="10"/>
      <c r="Y1228" s="10"/>
    </row>
    <row r="1229" spans="1:25" ht="16.5" customHeight="1" x14ac:dyDescent="0.2">
      <c r="A1229" s="413"/>
      <c r="B1229" s="414"/>
      <c r="C1229" s="33" t="s">
        <v>321</v>
      </c>
      <c r="D1229" s="148">
        <f>(2.4+5.23+2.4+2.03+1.05+1.2+1.05)</f>
        <v>15.360000000000001</v>
      </c>
      <c r="E1229" s="148"/>
      <c r="F1229" s="148">
        <v>2.78</v>
      </c>
      <c r="G1229" s="148">
        <v>7</v>
      </c>
      <c r="H1229" s="148"/>
      <c r="I1229" s="176">
        <f>(1.8*1.2+3*0.7*2.1+0.8*2.1)*7</f>
        <v>57.75</v>
      </c>
      <c r="J1229" s="170">
        <f t="shared" si="57"/>
        <v>241.15559999999999</v>
      </c>
      <c r="L1229" s="10"/>
      <c r="M1229" s="10"/>
      <c r="N1229" s="10"/>
      <c r="O1229" s="10"/>
      <c r="P1229" s="10"/>
      <c r="Q1229" s="10"/>
      <c r="R1229" s="10"/>
      <c r="S1229" s="10"/>
      <c r="T1229" s="10"/>
      <c r="U1229" s="10"/>
      <c r="V1229" s="10"/>
      <c r="W1229" s="10"/>
      <c r="X1229" s="10"/>
      <c r="Y1229" s="10"/>
    </row>
    <row r="1230" spans="1:25" ht="16.5" customHeight="1" x14ac:dyDescent="0.2">
      <c r="A1230" s="411"/>
      <c r="B1230" s="415"/>
      <c r="C1230" s="33" t="s">
        <v>322</v>
      </c>
      <c r="D1230" s="148"/>
      <c r="E1230" s="148"/>
      <c r="F1230" s="148"/>
      <c r="G1230" s="148">
        <v>7</v>
      </c>
      <c r="H1230" s="148">
        <v>39.57</v>
      </c>
      <c r="I1230" s="176"/>
      <c r="J1230" s="170">
        <f t="shared" si="57"/>
        <v>276.99</v>
      </c>
      <c r="L1230" s="10"/>
      <c r="M1230" s="10"/>
      <c r="N1230" s="10"/>
      <c r="O1230" s="10"/>
      <c r="P1230" s="10"/>
      <c r="Q1230" s="10"/>
      <c r="R1230" s="10"/>
      <c r="S1230" s="10"/>
      <c r="T1230" s="10"/>
      <c r="U1230" s="10"/>
      <c r="V1230" s="10"/>
      <c r="W1230" s="10"/>
      <c r="X1230" s="10"/>
      <c r="Y1230" s="10"/>
    </row>
    <row r="1231" spans="1:25" ht="16.5" customHeight="1" x14ac:dyDescent="0.2">
      <c r="A1231" s="409" t="s">
        <v>786</v>
      </c>
      <c r="B1231" s="410"/>
      <c r="C1231" s="33" t="s">
        <v>322</v>
      </c>
      <c r="D1231" s="148"/>
      <c r="E1231" s="148"/>
      <c r="F1231" s="148"/>
      <c r="G1231" s="148">
        <v>7</v>
      </c>
      <c r="H1231" s="148">
        <f>ROUND(4.44*4.63,2)</f>
        <v>20.56</v>
      </c>
      <c r="I1231" s="175"/>
      <c r="J1231" s="170">
        <f t="shared" si="57"/>
        <v>143.91999999999999</v>
      </c>
      <c r="L1231" s="10"/>
      <c r="M1231" s="10"/>
      <c r="N1231" s="10"/>
      <c r="O1231" s="10"/>
      <c r="P1231" s="10"/>
      <c r="Q1231" s="10"/>
      <c r="R1231" s="10"/>
      <c r="S1231" s="10"/>
      <c r="T1231" s="10"/>
      <c r="U1231" s="10"/>
      <c r="V1231" s="10"/>
      <c r="W1231" s="10"/>
      <c r="X1231" s="10"/>
      <c r="Y1231" s="10"/>
    </row>
    <row r="1232" spans="1:25" ht="16.5" customHeight="1" x14ac:dyDescent="0.2">
      <c r="A1232" s="411"/>
      <c r="B1232" s="412"/>
      <c r="C1232" s="33" t="s">
        <v>323</v>
      </c>
      <c r="D1232" s="148">
        <f>4.44*2+4.63*2+2.03+0.87*2+0.15*2+0.72*2+1.74</f>
        <v>25.39</v>
      </c>
      <c r="E1232" s="148"/>
      <c r="F1232" s="148">
        <v>2.78</v>
      </c>
      <c r="G1232" s="148">
        <v>7</v>
      </c>
      <c r="H1232" s="148"/>
      <c r="I1232" s="176">
        <f>(4*0.8*2.1+2*0.6*1.2+0.8*1.6)*7</f>
        <v>66.080000000000013</v>
      </c>
      <c r="J1232" s="170">
        <f t="shared" si="57"/>
        <v>428.00939999999991</v>
      </c>
      <c r="L1232" s="10"/>
      <c r="M1232" s="10"/>
      <c r="N1232" s="10"/>
      <c r="O1232" s="10"/>
      <c r="P1232" s="10"/>
      <c r="Q1232" s="10"/>
      <c r="R1232" s="10"/>
      <c r="S1232" s="10"/>
      <c r="T1232" s="10"/>
      <c r="U1232" s="10"/>
      <c r="V1232" s="10"/>
      <c r="W1232" s="10"/>
      <c r="X1232" s="10"/>
      <c r="Y1232" s="10"/>
    </row>
    <row r="1233" spans="1:25" ht="16.5" customHeight="1" x14ac:dyDescent="0.2">
      <c r="A1233" s="413" t="s">
        <v>808</v>
      </c>
      <c r="B1233" s="414"/>
      <c r="C1233" s="33" t="s">
        <v>319</v>
      </c>
      <c r="D1233" s="148">
        <f>2.6*2+2.9*2</f>
        <v>11</v>
      </c>
      <c r="E1233" s="148"/>
      <c r="F1233" s="148">
        <v>2.78</v>
      </c>
      <c r="G1233" s="148">
        <v>7</v>
      </c>
      <c r="H1233" s="148"/>
      <c r="I1233" s="176">
        <f>(1.2*1.2+0.7*2.1)*7</f>
        <v>20.37</v>
      </c>
      <c r="J1233" s="170">
        <f t="shared" si="57"/>
        <v>193.69</v>
      </c>
      <c r="L1233" s="10"/>
      <c r="M1233" s="10"/>
      <c r="N1233" s="10"/>
      <c r="O1233" s="10"/>
      <c r="P1233" s="10"/>
      <c r="Q1233" s="10"/>
      <c r="R1233" s="10"/>
      <c r="S1233" s="10"/>
      <c r="T1233" s="10"/>
      <c r="U1233" s="10"/>
      <c r="V1233" s="10"/>
      <c r="W1233" s="10"/>
      <c r="X1233" s="10"/>
      <c r="Y1233" s="10"/>
    </row>
    <row r="1234" spans="1:25" ht="16.5" customHeight="1" x14ac:dyDescent="0.2">
      <c r="A1234" s="413"/>
      <c r="B1234" s="414"/>
      <c r="C1234" s="33" t="s">
        <v>320</v>
      </c>
      <c r="D1234" s="148">
        <f>2.4*2+2.9*2</f>
        <v>10.6</v>
      </c>
      <c r="E1234" s="148"/>
      <c r="F1234" s="148">
        <v>2.78</v>
      </c>
      <c r="G1234" s="148">
        <v>7</v>
      </c>
      <c r="H1234" s="148"/>
      <c r="I1234" s="176">
        <f>(1.2*1.2+0.7*2.1)*7</f>
        <v>20.37</v>
      </c>
      <c r="J1234" s="170">
        <f t="shared" si="57"/>
        <v>185.90599999999998</v>
      </c>
      <c r="L1234" s="10"/>
      <c r="M1234" s="10"/>
      <c r="N1234" s="10"/>
      <c r="O1234" s="10"/>
      <c r="P1234" s="10"/>
      <c r="Q1234" s="10"/>
      <c r="R1234" s="10"/>
      <c r="S1234" s="10"/>
      <c r="T1234" s="10"/>
      <c r="U1234" s="10"/>
      <c r="V1234" s="10"/>
      <c r="W1234" s="10"/>
      <c r="X1234" s="10"/>
      <c r="Y1234" s="10"/>
    </row>
    <row r="1235" spans="1:25" ht="16.5" customHeight="1" x14ac:dyDescent="0.2">
      <c r="A1235" s="413"/>
      <c r="B1235" s="414"/>
      <c r="C1235" s="33" t="s">
        <v>321</v>
      </c>
      <c r="D1235" s="148">
        <f>(2.4+5.23+2.4+2.03+1.05+1.2+1.05)</f>
        <v>15.360000000000001</v>
      </c>
      <c r="E1235" s="148"/>
      <c r="F1235" s="148">
        <v>2.78</v>
      </c>
      <c r="G1235" s="148">
        <v>7</v>
      </c>
      <c r="H1235" s="148"/>
      <c r="I1235" s="176">
        <f>(1.8*1.2+3*0.7*2.1+0.8*2.1)*7</f>
        <v>57.75</v>
      </c>
      <c r="J1235" s="170">
        <f t="shared" si="57"/>
        <v>241.15559999999999</v>
      </c>
      <c r="L1235" s="10"/>
      <c r="M1235" s="10"/>
      <c r="N1235" s="10"/>
      <c r="O1235" s="10"/>
      <c r="P1235" s="10"/>
      <c r="Q1235" s="10"/>
      <c r="R1235" s="10"/>
      <c r="S1235" s="10"/>
      <c r="T1235" s="10"/>
      <c r="U1235" s="10"/>
      <c r="V1235" s="10"/>
      <c r="W1235" s="10"/>
      <c r="X1235" s="10"/>
      <c r="Y1235" s="10"/>
    </row>
    <row r="1236" spans="1:25" ht="16.5" customHeight="1" x14ac:dyDescent="0.2">
      <c r="A1236" s="411"/>
      <c r="B1236" s="415"/>
      <c r="C1236" s="33" t="s">
        <v>322</v>
      </c>
      <c r="D1236" s="148"/>
      <c r="E1236" s="148"/>
      <c r="F1236" s="148"/>
      <c r="G1236" s="148">
        <v>7</v>
      </c>
      <c r="H1236" s="148">
        <v>39.57</v>
      </c>
      <c r="I1236" s="176"/>
      <c r="J1236" s="170">
        <f t="shared" si="57"/>
        <v>276.99</v>
      </c>
      <c r="L1236" s="10"/>
      <c r="M1236" s="10"/>
      <c r="N1236" s="10"/>
      <c r="O1236" s="10"/>
      <c r="P1236" s="10"/>
      <c r="Q1236" s="10"/>
      <c r="R1236" s="10"/>
      <c r="S1236" s="10"/>
      <c r="T1236" s="10"/>
      <c r="U1236" s="10"/>
      <c r="V1236" s="10"/>
      <c r="W1236" s="10"/>
      <c r="X1236" s="10"/>
      <c r="Y1236" s="10"/>
    </row>
    <row r="1237" spans="1:25" ht="16.5" customHeight="1" x14ac:dyDescent="0.2">
      <c r="A1237" s="413" t="s">
        <v>809</v>
      </c>
      <c r="B1237" s="414"/>
      <c r="C1237" s="33" t="s">
        <v>319</v>
      </c>
      <c r="D1237" s="148">
        <f>2.6*2+2.9*2</f>
        <v>11</v>
      </c>
      <c r="E1237" s="148"/>
      <c r="F1237" s="148">
        <v>2.78</v>
      </c>
      <c r="G1237" s="148">
        <v>7</v>
      </c>
      <c r="H1237" s="148"/>
      <c r="I1237" s="176">
        <f>(1.2*1.2+0.7*2.1)*7</f>
        <v>20.37</v>
      </c>
      <c r="J1237" s="170">
        <f t="shared" si="57"/>
        <v>193.69</v>
      </c>
      <c r="L1237" s="10"/>
      <c r="M1237" s="10"/>
      <c r="N1237" s="10"/>
      <c r="O1237" s="10"/>
      <c r="P1237" s="10"/>
      <c r="Q1237" s="10"/>
      <c r="R1237" s="10"/>
      <c r="S1237" s="10"/>
      <c r="T1237" s="10"/>
      <c r="U1237" s="10"/>
      <c r="V1237" s="10"/>
      <c r="W1237" s="10"/>
      <c r="X1237" s="10"/>
      <c r="Y1237" s="10"/>
    </row>
    <row r="1238" spans="1:25" ht="16.5" customHeight="1" x14ac:dyDescent="0.2">
      <c r="A1238" s="413"/>
      <c r="B1238" s="414"/>
      <c r="C1238" s="33" t="s">
        <v>320</v>
      </c>
      <c r="D1238" s="148">
        <f>2.4*2+2.9*2</f>
        <v>10.6</v>
      </c>
      <c r="E1238" s="148"/>
      <c r="F1238" s="148">
        <v>2.78</v>
      </c>
      <c r="G1238" s="148">
        <v>7</v>
      </c>
      <c r="H1238" s="148"/>
      <c r="I1238" s="176">
        <f>(1.2*1.2+0.7*2.1)*7</f>
        <v>20.37</v>
      </c>
      <c r="J1238" s="170">
        <f t="shared" si="57"/>
        <v>185.90599999999998</v>
      </c>
      <c r="L1238" s="10"/>
      <c r="M1238" s="10"/>
      <c r="N1238" s="10"/>
      <c r="O1238" s="10"/>
      <c r="P1238" s="10"/>
      <c r="Q1238" s="10"/>
      <c r="R1238" s="10"/>
      <c r="S1238" s="10"/>
      <c r="T1238" s="10"/>
      <c r="U1238" s="10"/>
      <c r="V1238" s="10"/>
      <c r="W1238" s="10"/>
      <c r="X1238" s="10"/>
      <c r="Y1238" s="10"/>
    </row>
    <row r="1239" spans="1:25" ht="16.5" customHeight="1" x14ac:dyDescent="0.2">
      <c r="A1239" s="413"/>
      <c r="B1239" s="414"/>
      <c r="C1239" s="33" t="s">
        <v>321</v>
      </c>
      <c r="D1239" s="148">
        <f>(2.4+5.23+2.4+2.03+1.05+1.2+1.05)</f>
        <v>15.360000000000001</v>
      </c>
      <c r="E1239" s="148"/>
      <c r="F1239" s="148">
        <v>2.78</v>
      </c>
      <c r="G1239" s="148">
        <v>7</v>
      </c>
      <c r="H1239" s="148"/>
      <c r="I1239" s="176">
        <f>(1.8*1.2+3*0.7*2.1+0.8*2.1)*7</f>
        <v>57.75</v>
      </c>
      <c r="J1239" s="170">
        <f t="shared" si="57"/>
        <v>241.15559999999999</v>
      </c>
      <c r="L1239" s="10"/>
      <c r="M1239" s="10"/>
      <c r="N1239" s="10"/>
      <c r="O1239" s="10"/>
      <c r="P1239" s="10"/>
      <c r="Q1239" s="10"/>
      <c r="R1239" s="10"/>
      <c r="S1239" s="10"/>
      <c r="T1239" s="10"/>
      <c r="U1239" s="10"/>
      <c r="V1239" s="10"/>
      <c r="W1239" s="10"/>
      <c r="X1239" s="10"/>
      <c r="Y1239" s="10"/>
    </row>
    <row r="1240" spans="1:25" ht="16.5" customHeight="1" x14ac:dyDescent="0.2">
      <c r="A1240" s="411"/>
      <c r="B1240" s="415"/>
      <c r="C1240" s="33" t="s">
        <v>322</v>
      </c>
      <c r="D1240" s="148"/>
      <c r="E1240" s="148"/>
      <c r="F1240" s="148"/>
      <c r="G1240" s="148">
        <v>7</v>
      </c>
      <c r="H1240" s="148">
        <v>39.57</v>
      </c>
      <c r="I1240" s="176"/>
      <c r="J1240" s="170">
        <f t="shared" si="57"/>
        <v>276.99</v>
      </c>
      <c r="L1240" s="10"/>
      <c r="M1240" s="10"/>
      <c r="N1240" s="10"/>
      <c r="O1240" s="10"/>
      <c r="P1240" s="10"/>
      <c r="Q1240" s="10"/>
      <c r="R1240" s="10"/>
      <c r="S1240" s="10"/>
      <c r="T1240" s="10"/>
      <c r="U1240" s="10"/>
      <c r="V1240" s="10"/>
      <c r="W1240" s="10"/>
      <c r="X1240" s="10"/>
      <c r="Y1240" s="10"/>
    </row>
    <row r="1241" spans="1:25" ht="16.5" customHeight="1" x14ac:dyDescent="0.2">
      <c r="A1241" s="413" t="s">
        <v>685</v>
      </c>
      <c r="B1241" s="414"/>
      <c r="C1241" s="33" t="s">
        <v>319</v>
      </c>
      <c r="D1241" s="148">
        <f>2.6*2+2.9*2</f>
        <v>11</v>
      </c>
      <c r="E1241" s="148"/>
      <c r="F1241" s="148">
        <v>2.78</v>
      </c>
      <c r="G1241" s="148">
        <v>7</v>
      </c>
      <c r="H1241" s="148"/>
      <c r="I1241" s="176">
        <f>(1.2*1.2+0.7*2.1)*7</f>
        <v>20.37</v>
      </c>
      <c r="J1241" s="170">
        <f t="shared" si="57"/>
        <v>193.69</v>
      </c>
      <c r="L1241" s="10"/>
      <c r="M1241" s="10"/>
      <c r="N1241" s="10"/>
      <c r="O1241" s="10"/>
      <c r="P1241" s="10"/>
      <c r="Q1241" s="10"/>
      <c r="R1241" s="10"/>
      <c r="S1241" s="10"/>
      <c r="T1241" s="10"/>
      <c r="U1241" s="10"/>
      <c r="V1241" s="10"/>
      <c r="W1241" s="10"/>
      <c r="X1241" s="10"/>
      <c r="Y1241" s="10"/>
    </row>
    <row r="1242" spans="1:25" ht="16.5" customHeight="1" x14ac:dyDescent="0.2">
      <c r="A1242" s="413"/>
      <c r="B1242" s="414"/>
      <c r="C1242" s="33" t="s">
        <v>320</v>
      </c>
      <c r="D1242" s="148">
        <f>2.4*2+2.9*2</f>
        <v>10.6</v>
      </c>
      <c r="E1242" s="148"/>
      <c r="F1242" s="148">
        <v>2.78</v>
      </c>
      <c r="G1242" s="148">
        <v>7</v>
      </c>
      <c r="H1242" s="148"/>
      <c r="I1242" s="176">
        <f>(1.2*1.2+0.7*2.1)*7</f>
        <v>20.37</v>
      </c>
      <c r="J1242" s="170">
        <f t="shared" si="57"/>
        <v>185.90599999999998</v>
      </c>
      <c r="L1242" s="10"/>
      <c r="M1242" s="10"/>
      <c r="N1242" s="10"/>
      <c r="O1242" s="10"/>
      <c r="P1242" s="10"/>
      <c r="Q1242" s="10"/>
      <c r="R1242" s="10"/>
      <c r="S1242" s="10"/>
      <c r="T1242" s="10"/>
      <c r="U1242" s="10"/>
      <c r="V1242" s="10"/>
      <c r="W1242" s="10"/>
      <c r="X1242" s="10"/>
      <c r="Y1242" s="10"/>
    </row>
    <row r="1243" spans="1:25" ht="16.5" customHeight="1" x14ac:dyDescent="0.2">
      <c r="A1243" s="413"/>
      <c r="B1243" s="414"/>
      <c r="C1243" s="33" t="s">
        <v>321</v>
      </c>
      <c r="D1243" s="148">
        <f>(2.4+5.23+2.4+2.03+1.05+1.2+1.05)</f>
        <v>15.360000000000001</v>
      </c>
      <c r="E1243" s="148"/>
      <c r="F1243" s="148">
        <v>2.78</v>
      </c>
      <c r="G1243" s="148">
        <v>7</v>
      </c>
      <c r="H1243" s="148"/>
      <c r="I1243" s="176">
        <f>(1.8*1.2+3*0.7*2.1+0.8*2.1)*7</f>
        <v>57.75</v>
      </c>
      <c r="J1243" s="170">
        <f t="shared" ref="J1243:J1256" si="63">PRODUCT(D1243:H1243)-I1243</f>
        <v>241.15559999999999</v>
      </c>
      <c r="L1243" s="10"/>
      <c r="M1243" s="10"/>
      <c r="N1243" s="10"/>
      <c r="O1243" s="10"/>
      <c r="P1243" s="10"/>
      <c r="Q1243" s="10"/>
      <c r="R1243" s="10"/>
      <c r="S1243" s="10"/>
      <c r="T1243" s="10"/>
      <c r="U1243" s="10"/>
      <c r="V1243" s="10"/>
      <c r="W1243" s="10"/>
      <c r="X1243" s="10"/>
      <c r="Y1243" s="10"/>
    </row>
    <row r="1244" spans="1:25" ht="16.5" customHeight="1" x14ac:dyDescent="0.2">
      <c r="A1244" s="411"/>
      <c r="B1244" s="415"/>
      <c r="C1244" s="33" t="s">
        <v>322</v>
      </c>
      <c r="D1244" s="148"/>
      <c r="E1244" s="148"/>
      <c r="F1244" s="148"/>
      <c r="G1244" s="148">
        <v>7</v>
      </c>
      <c r="H1244" s="148">
        <v>39.57</v>
      </c>
      <c r="I1244" s="176"/>
      <c r="J1244" s="170">
        <f t="shared" si="63"/>
        <v>276.99</v>
      </c>
      <c r="L1244" s="10"/>
      <c r="M1244" s="10"/>
      <c r="N1244" s="10"/>
      <c r="O1244" s="10"/>
      <c r="P1244" s="10"/>
      <c r="Q1244" s="10"/>
      <c r="R1244" s="10"/>
      <c r="S1244" s="10"/>
      <c r="T1244" s="10"/>
      <c r="U1244" s="10"/>
      <c r="V1244" s="10"/>
      <c r="W1244" s="10"/>
      <c r="X1244" s="10"/>
      <c r="Y1244" s="10"/>
    </row>
    <row r="1245" spans="1:25" ht="16.5" customHeight="1" x14ac:dyDescent="0.2">
      <c r="A1245" s="413" t="s">
        <v>687</v>
      </c>
      <c r="B1245" s="414"/>
      <c r="C1245" s="33" t="s">
        <v>319</v>
      </c>
      <c r="D1245" s="148">
        <f>2.6*2+2.9*2</f>
        <v>11</v>
      </c>
      <c r="E1245" s="148"/>
      <c r="F1245" s="148">
        <v>2.78</v>
      </c>
      <c r="G1245" s="148">
        <v>7</v>
      </c>
      <c r="H1245" s="148"/>
      <c r="I1245" s="176">
        <f>(1.2*1.2+0.7*2.1)*7</f>
        <v>20.37</v>
      </c>
      <c r="J1245" s="170">
        <f t="shared" si="63"/>
        <v>193.69</v>
      </c>
      <c r="L1245" s="10"/>
      <c r="M1245" s="10"/>
      <c r="N1245" s="10"/>
      <c r="O1245" s="10"/>
      <c r="P1245" s="10"/>
      <c r="Q1245" s="10"/>
      <c r="R1245" s="10"/>
      <c r="S1245" s="10"/>
      <c r="T1245" s="10"/>
      <c r="U1245" s="10"/>
      <c r="V1245" s="10"/>
      <c r="W1245" s="10"/>
      <c r="X1245" s="10"/>
      <c r="Y1245" s="10"/>
    </row>
    <row r="1246" spans="1:25" ht="16.5" customHeight="1" x14ac:dyDescent="0.2">
      <c r="A1246" s="413"/>
      <c r="B1246" s="414"/>
      <c r="C1246" s="33" t="s">
        <v>320</v>
      </c>
      <c r="D1246" s="148">
        <f>2.4*2+2.9*2</f>
        <v>10.6</v>
      </c>
      <c r="E1246" s="148"/>
      <c r="F1246" s="148">
        <v>2.78</v>
      </c>
      <c r="G1246" s="148">
        <v>7</v>
      </c>
      <c r="H1246" s="148"/>
      <c r="I1246" s="176">
        <f>(1.2*1.2+0.7*2.1)*7</f>
        <v>20.37</v>
      </c>
      <c r="J1246" s="170">
        <f t="shared" si="63"/>
        <v>185.90599999999998</v>
      </c>
      <c r="L1246" s="10"/>
      <c r="M1246" s="10"/>
      <c r="N1246" s="10"/>
      <c r="O1246" s="10"/>
      <c r="P1246" s="10"/>
      <c r="Q1246" s="10"/>
      <c r="R1246" s="10"/>
      <c r="S1246" s="10"/>
      <c r="T1246" s="10"/>
      <c r="U1246" s="10"/>
      <c r="V1246" s="10"/>
      <c r="W1246" s="10"/>
      <c r="X1246" s="10"/>
      <c r="Y1246" s="10"/>
    </row>
    <row r="1247" spans="1:25" ht="16.5" customHeight="1" x14ac:dyDescent="0.2">
      <c r="A1247" s="413"/>
      <c r="B1247" s="414"/>
      <c r="C1247" s="33" t="s">
        <v>321</v>
      </c>
      <c r="D1247" s="148">
        <f>(2.4+5.23+2.4+2.03+1.05+1.2+1.05)</f>
        <v>15.360000000000001</v>
      </c>
      <c r="E1247" s="148"/>
      <c r="F1247" s="148">
        <v>2.78</v>
      </c>
      <c r="G1247" s="148">
        <v>7</v>
      </c>
      <c r="H1247" s="148"/>
      <c r="I1247" s="176">
        <f>(1.8*1.2+3*0.7*2.1+0.8*2.1)*7</f>
        <v>57.75</v>
      </c>
      <c r="J1247" s="170">
        <f t="shared" si="63"/>
        <v>241.15559999999999</v>
      </c>
      <c r="L1247" s="10"/>
      <c r="M1247" s="10"/>
      <c r="N1247" s="10"/>
      <c r="O1247" s="10"/>
      <c r="P1247" s="10"/>
      <c r="Q1247" s="10"/>
      <c r="R1247" s="10"/>
      <c r="S1247" s="10"/>
      <c r="T1247" s="10"/>
      <c r="U1247" s="10"/>
      <c r="V1247" s="10"/>
      <c r="W1247" s="10"/>
      <c r="X1247" s="10"/>
      <c r="Y1247" s="10"/>
    </row>
    <row r="1248" spans="1:25" ht="16.5" customHeight="1" x14ac:dyDescent="0.2">
      <c r="A1248" s="411"/>
      <c r="B1248" s="415"/>
      <c r="C1248" s="33" t="s">
        <v>322</v>
      </c>
      <c r="D1248" s="148"/>
      <c r="E1248" s="148"/>
      <c r="F1248" s="148"/>
      <c r="G1248" s="148">
        <v>7</v>
      </c>
      <c r="H1248" s="148">
        <v>39.57</v>
      </c>
      <c r="I1248" s="176"/>
      <c r="J1248" s="170">
        <f t="shared" si="63"/>
        <v>276.99</v>
      </c>
      <c r="L1248" s="10"/>
      <c r="M1248" s="10"/>
      <c r="N1248" s="10"/>
      <c r="O1248" s="10"/>
      <c r="P1248" s="10"/>
      <c r="Q1248" s="10"/>
      <c r="R1248" s="10"/>
      <c r="S1248" s="10"/>
      <c r="T1248" s="10"/>
      <c r="U1248" s="10"/>
      <c r="V1248" s="10"/>
      <c r="W1248" s="10"/>
      <c r="X1248" s="10"/>
      <c r="Y1248" s="10"/>
    </row>
    <row r="1249" spans="1:25" s="166" customFormat="1" ht="16.5" customHeight="1" x14ac:dyDescent="0.2">
      <c r="A1249" s="409" t="s">
        <v>793</v>
      </c>
      <c r="B1249" s="410"/>
      <c r="C1249" s="177" t="s">
        <v>322</v>
      </c>
      <c r="D1249" s="178"/>
      <c r="E1249" s="178"/>
      <c r="F1249" s="178"/>
      <c r="G1249" s="148">
        <v>7</v>
      </c>
      <c r="H1249" s="176">
        <f>ROUND(4.44*4.63,2)</f>
        <v>20.56</v>
      </c>
      <c r="I1249" s="178"/>
      <c r="J1249" s="170">
        <f t="shared" si="63"/>
        <v>143.91999999999999</v>
      </c>
      <c r="L1249" s="10"/>
      <c r="M1249" s="10"/>
      <c r="N1249" s="10"/>
      <c r="O1249" s="10"/>
      <c r="P1249" s="10"/>
      <c r="Q1249" s="10"/>
      <c r="R1249" s="10"/>
      <c r="S1249" s="10"/>
      <c r="T1249" s="10"/>
      <c r="U1249" s="10"/>
      <c r="V1249" s="10"/>
      <c r="W1249" s="10"/>
      <c r="X1249" s="10"/>
      <c r="Y1249" s="10"/>
    </row>
    <row r="1250" spans="1:25" s="166" customFormat="1" ht="16.5" customHeight="1" x14ac:dyDescent="0.2">
      <c r="A1250" s="411"/>
      <c r="B1250" s="412"/>
      <c r="C1250" s="177" t="s">
        <v>323</v>
      </c>
      <c r="D1250" s="176">
        <f>4.44*2+4.63*2+2.03+0.87*2+0.15*2+0.72*2+1.74</f>
        <v>25.39</v>
      </c>
      <c r="E1250" s="176"/>
      <c r="F1250" s="176">
        <v>3.8</v>
      </c>
      <c r="G1250" s="176">
        <v>7</v>
      </c>
      <c r="H1250" s="176"/>
      <c r="I1250" s="176">
        <f>(4*0.8*2.1+2*0.6*1.2+0.8*1.6+0.8*0.6*2)*7</f>
        <v>72.800000000000011</v>
      </c>
      <c r="J1250" s="170">
        <f t="shared" si="63"/>
        <v>602.57400000000007</v>
      </c>
      <c r="L1250" s="10"/>
      <c r="M1250" s="10"/>
      <c r="N1250" s="10"/>
      <c r="O1250" s="10"/>
      <c r="P1250" s="10"/>
      <c r="Q1250" s="10"/>
      <c r="R1250" s="10"/>
      <c r="S1250" s="10"/>
      <c r="T1250" s="10"/>
      <c r="U1250" s="10"/>
      <c r="V1250" s="10"/>
      <c r="W1250" s="10"/>
      <c r="X1250" s="10"/>
      <c r="Y1250" s="10"/>
    </row>
    <row r="1251" spans="1:25" ht="16.5" customHeight="1" x14ac:dyDescent="0.2">
      <c r="A1251" s="318" t="s">
        <v>777</v>
      </c>
      <c r="B1251" s="319"/>
      <c r="C1251" s="332"/>
      <c r="D1251" s="176">
        <f>4.44+4.44</f>
        <v>8.8800000000000008</v>
      </c>
      <c r="E1251" s="176"/>
      <c r="F1251" s="176">
        <v>1.8</v>
      </c>
      <c r="G1251" s="176">
        <v>7</v>
      </c>
      <c r="H1251" s="176"/>
      <c r="I1251" s="176"/>
      <c r="J1251" s="170">
        <f t="shared" si="63"/>
        <v>111.88800000000001</v>
      </c>
      <c r="L1251" s="10"/>
      <c r="M1251" s="10"/>
      <c r="N1251" s="10"/>
      <c r="O1251" s="10"/>
      <c r="P1251" s="10"/>
      <c r="Q1251" s="10"/>
      <c r="R1251" s="10"/>
      <c r="S1251" s="10"/>
      <c r="T1251" s="10"/>
      <c r="U1251" s="10"/>
      <c r="V1251" s="10"/>
      <c r="W1251" s="10"/>
      <c r="X1251" s="10"/>
      <c r="Y1251" s="10"/>
    </row>
    <row r="1252" spans="1:25" ht="16.5" customHeight="1" x14ac:dyDescent="0.2">
      <c r="A1252" s="318" t="s">
        <v>779</v>
      </c>
      <c r="B1252" s="319"/>
      <c r="C1252" s="332"/>
      <c r="D1252" s="176">
        <f>4.63*2</f>
        <v>9.26</v>
      </c>
      <c r="E1252" s="176"/>
      <c r="F1252" s="176">
        <v>1.8</v>
      </c>
      <c r="G1252" s="176">
        <v>7</v>
      </c>
      <c r="H1252" s="176"/>
      <c r="I1252" s="176"/>
      <c r="J1252" s="170">
        <f t="shared" si="63"/>
        <v>116.67599999999999</v>
      </c>
      <c r="L1252" s="10"/>
      <c r="M1252" s="10"/>
      <c r="N1252" s="10"/>
      <c r="O1252" s="10"/>
      <c r="P1252" s="10"/>
      <c r="Q1252" s="10"/>
      <c r="R1252" s="10"/>
      <c r="S1252" s="10"/>
      <c r="T1252" s="10"/>
      <c r="U1252" s="10"/>
      <c r="V1252" s="10"/>
      <c r="W1252" s="10"/>
      <c r="X1252" s="10"/>
      <c r="Y1252" s="10"/>
    </row>
    <row r="1253" spans="1:25" ht="16.5" customHeight="1" x14ac:dyDescent="0.2">
      <c r="A1253" s="318" t="s">
        <v>778</v>
      </c>
      <c r="B1253" s="319"/>
      <c r="C1253" s="332"/>
      <c r="D1253" s="176">
        <f>4.74*2</f>
        <v>9.48</v>
      </c>
      <c r="E1253" s="176"/>
      <c r="F1253" s="176">
        <v>3</v>
      </c>
      <c r="G1253" s="176">
        <v>7</v>
      </c>
      <c r="H1253" s="176"/>
      <c r="I1253" s="176"/>
      <c r="J1253" s="170">
        <f t="shared" si="63"/>
        <v>199.08</v>
      </c>
      <c r="L1253" s="10"/>
      <c r="M1253" s="10"/>
      <c r="N1253" s="10"/>
      <c r="O1253" s="10"/>
      <c r="P1253" s="10"/>
      <c r="Q1253" s="10"/>
      <c r="R1253" s="10"/>
      <c r="S1253" s="10"/>
      <c r="T1253" s="10"/>
      <c r="U1253" s="10"/>
      <c r="V1253" s="10"/>
      <c r="W1253" s="10"/>
      <c r="X1253" s="10"/>
      <c r="Y1253" s="10"/>
    </row>
    <row r="1254" spans="1:25" ht="16.5" customHeight="1" x14ac:dyDescent="0.2">
      <c r="A1254" s="318" t="s">
        <v>780</v>
      </c>
      <c r="B1254" s="319"/>
      <c r="C1254" s="332"/>
      <c r="D1254" s="176">
        <f>4.63+0.3</f>
        <v>4.93</v>
      </c>
      <c r="E1254" s="176"/>
      <c r="F1254" s="176">
        <v>3</v>
      </c>
      <c r="G1254" s="176">
        <v>7</v>
      </c>
      <c r="H1254" s="176"/>
      <c r="I1254" s="176">
        <f>0.8*0.6*2*7</f>
        <v>6.72</v>
      </c>
      <c r="J1254" s="170">
        <f t="shared" si="63"/>
        <v>96.81</v>
      </c>
      <c r="L1254" s="10"/>
      <c r="M1254" s="10"/>
      <c r="N1254" s="10"/>
      <c r="O1254" s="10"/>
      <c r="P1254" s="10"/>
      <c r="Q1254" s="10"/>
      <c r="R1254" s="10"/>
      <c r="S1254" s="10"/>
      <c r="T1254" s="10"/>
      <c r="U1254" s="10"/>
      <c r="V1254" s="10"/>
      <c r="W1254" s="10"/>
      <c r="X1254" s="10"/>
      <c r="Y1254" s="10"/>
    </row>
    <row r="1255" spans="1:25" ht="16.5" customHeight="1" x14ac:dyDescent="0.2">
      <c r="A1255" s="318" t="s">
        <v>781</v>
      </c>
      <c r="B1255" s="319"/>
      <c r="C1255" s="332"/>
      <c r="D1255" s="176">
        <f>(5.02+5.49+17.09+5.49+7.1)*2</f>
        <v>80.38000000000001</v>
      </c>
      <c r="E1255" s="176"/>
      <c r="F1255" s="176">
        <v>1.4</v>
      </c>
      <c r="G1255" s="176">
        <v>7</v>
      </c>
      <c r="H1255" s="176"/>
      <c r="I1255" s="176"/>
      <c r="J1255" s="170">
        <f t="shared" si="63"/>
        <v>787.72400000000005</v>
      </c>
      <c r="L1255" s="10"/>
      <c r="M1255" s="10"/>
      <c r="N1255" s="10"/>
      <c r="O1255" s="10"/>
      <c r="P1255" s="10"/>
      <c r="Q1255" s="10"/>
      <c r="R1255" s="10"/>
      <c r="S1255" s="10"/>
      <c r="T1255" s="10"/>
      <c r="U1255" s="10"/>
      <c r="V1255" s="10"/>
      <c r="W1255" s="10"/>
      <c r="X1255" s="10"/>
      <c r="Y1255" s="10"/>
    </row>
    <row r="1256" spans="1:25" ht="16.5" customHeight="1" x14ac:dyDescent="0.2">
      <c r="A1256" s="318" t="s">
        <v>782</v>
      </c>
      <c r="B1256" s="319"/>
      <c r="C1256" s="332"/>
      <c r="D1256" s="176">
        <f>5.49+17.09+5.49+7.1+4.4+7.1+5.49+17.09+5.49+5.02+4.4+5.02</f>
        <v>89.179999999999993</v>
      </c>
      <c r="E1256" s="176"/>
      <c r="F1256" s="176">
        <v>12.8</v>
      </c>
      <c r="G1256" s="176">
        <v>7</v>
      </c>
      <c r="H1256" s="176"/>
      <c r="I1256" s="176">
        <f>(48*1.2*1.2+16*0.6*1.2+3*0.8*1.6+16*1.8*1.2+8*0.6*1.2)*7</f>
        <v>873.6</v>
      </c>
      <c r="J1256" s="170">
        <f t="shared" si="63"/>
        <v>7116.927999999999</v>
      </c>
      <c r="L1256" s="10"/>
      <c r="M1256" s="10"/>
      <c r="N1256" s="10"/>
      <c r="O1256" s="10"/>
      <c r="P1256" s="10"/>
      <c r="Q1256" s="10"/>
      <c r="R1256" s="10"/>
      <c r="S1256" s="10"/>
      <c r="T1256" s="10"/>
      <c r="U1256" s="10"/>
      <c r="V1256" s="10"/>
      <c r="W1256" s="10"/>
      <c r="X1256" s="10"/>
      <c r="Y1256" s="10"/>
    </row>
    <row r="1257" spans="1:25" ht="16.5" customHeight="1" x14ac:dyDescent="0.2">
      <c r="A1257" s="342" t="str">
        <f>"TOTAL - "&amp;'Planilha orçamentária'!F92</f>
        <v>TOTAL - M2</v>
      </c>
      <c r="B1257" s="342"/>
      <c r="C1257" s="342"/>
      <c r="D1257" s="342"/>
      <c r="E1257" s="342"/>
      <c r="F1257" s="342"/>
      <c r="G1257" s="342"/>
      <c r="H1257" s="342"/>
      <c r="I1257" s="342"/>
      <c r="J1257" s="149">
        <f>SUM(J1179:J1256)</f>
        <v>25247.903800000007</v>
      </c>
      <c r="K1257" s="10"/>
      <c r="L1257" s="10"/>
      <c r="M1257" s="10"/>
      <c r="N1257" s="10"/>
      <c r="O1257" s="10"/>
      <c r="P1257" s="10"/>
      <c r="Q1257" s="10"/>
      <c r="R1257" s="10"/>
      <c r="S1257" s="10"/>
      <c r="T1257" s="10"/>
      <c r="U1257" s="10"/>
      <c r="V1257" s="10"/>
      <c r="W1257" s="10"/>
      <c r="X1257" s="10"/>
      <c r="Y1257" s="10"/>
    </row>
    <row r="1258" spans="1:25" ht="16.5" customHeight="1" x14ac:dyDescent="0.2">
      <c r="A1258" s="184" t="str">
        <f>'Planilha orçamentária'!A93</f>
        <v>12.2</v>
      </c>
      <c r="B1258" s="343" t="str">
        <f>'Planilha orçamentária'!D93</f>
        <v>Pintura acrílica em parede, duas (2) demãos, exclusive selador acrílico e massa acrílica/corrida (pva)</v>
      </c>
      <c r="C1258" s="344"/>
      <c r="D1258" s="344"/>
      <c r="E1258" s="344"/>
      <c r="F1258" s="344"/>
      <c r="G1258" s="344"/>
      <c r="H1258" s="344"/>
      <c r="I1258" s="344"/>
      <c r="J1258" s="344"/>
      <c r="K1258" s="10"/>
      <c r="L1258" s="10"/>
      <c r="M1258" s="10"/>
      <c r="N1258" s="10"/>
      <c r="O1258" s="10"/>
      <c r="P1258" s="10"/>
      <c r="Q1258" s="10"/>
      <c r="R1258" s="10"/>
      <c r="S1258" s="10"/>
      <c r="T1258" s="10"/>
      <c r="U1258" s="10"/>
      <c r="V1258" s="10"/>
      <c r="W1258" s="10"/>
      <c r="X1258" s="10"/>
      <c r="Y1258" s="10"/>
    </row>
    <row r="1259" spans="1:25" ht="16.5" customHeight="1" x14ac:dyDescent="0.2">
      <c r="A1259" s="327" t="s">
        <v>120</v>
      </c>
      <c r="B1259" s="328"/>
      <c r="C1259" s="328"/>
      <c r="D1259" s="182" t="s">
        <v>307</v>
      </c>
      <c r="E1259" s="182" t="s">
        <v>122</v>
      </c>
      <c r="F1259" s="181" t="s">
        <v>123</v>
      </c>
      <c r="G1259" s="181" t="s">
        <v>124</v>
      </c>
      <c r="H1259" s="181" t="s">
        <v>125</v>
      </c>
      <c r="I1259" s="182" t="s">
        <v>126</v>
      </c>
      <c r="J1259" s="182" t="s">
        <v>113</v>
      </c>
      <c r="K1259" s="10"/>
      <c r="L1259" s="10"/>
      <c r="M1259" s="10"/>
      <c r="N1259" s="10"/>
      <c r="O1259" s="10"/>
      <c r="P1259" s="10"/>
      <c r="Q1259" s="10"/>
      <c r="R1259" s="10"/>
      <c r="S1259" s="10"/>
      <c r="T1259" s="10"/>
      <c r="U1259" s="10"/>
      <c r="V1259" s="10"/>
      <c r="W1259" s="10"/>
      <c r="X1259" s="10"/>
      <c r="Y1259" s="10"/>
    </row>
    <row r="1260" spans="1:25" ht="16.5" customHeight="1" x14ac:dyDescent="0.2">
      <c r="A1260" s="413" t="s">
        <v>671</v>
      </c>
      <c r="B1260" s="414"/>
      <c r="C1260" s="33" t="s">
        <v>319</v>
      </c>
      <c r="D1260" s="148">
        <f>2.6*2+2.9*2</f>
        <v>11</v>
      </c>
      <c r="E1260" s="148"/>
      <c r="F1260" s="148">
        <f>2.9-0.12</f>
        <v>2.78</v>
      </c>
      <c r="G1260" s="148">
        <v>7</v>
      </c>
      <c r="H1260" s="148"/>
      <c r="I1260" s="176">
        <f>(1.2*1.2+0.7*2.1)*7</f>
        <v>20.37</v>
      </c>
      <c r="J1260" s="170">
        <f t="shared" ref="J1260:J1323" si="64">PRODUCT(D1260:H1260)-I1260</f>
        <v>193.69</v>
      </c>
      <c r="L1260" s="10"/>
      <c r="M1260" s="10"/>
      <c r="N1260" s="10"/>
      <c r="O1260" s="10"/>
      <c r="P1260" s="10"/>
      <c r="Q1260" s="10"/>
      <c r="R1260" s="10"/>
      <c r="S1260" s="10"/>
      <c r="T1260" s="10"/>
      <c r="U1260" s="10"/>
      <c r="V1260" s="10"/>
      <c r="W1260" s="10"/>
      <c r="X1260" s="10"/>
      <c r="Y1260" s="10"/>
    </row>
    <row r="1261" spans="1:25" ht="16.5" customHeight="1" x14ac:dyDescent="0.2">
      <c r="A1261" s="413"/>
      <c r="B1261" s="414"/>
      <c r="C1261" s="33" t="s">
        <v>320</v>
      </c>
      <c r="D1261" s="148">
        <f>2.4*2+2.9*2</f>
        <v>10.6</v>
      </c>
      <c r="E1261" s="148"/>
      <c r="F1261" s="148">
        <f t="shared" ref="F1261:F1262" si="65">2.9-0.12</f>
        <v>2.78</v>
      </c>
      <c r="G1261" s="148">
        <v>7</v>
      </c>
      <c r="H1261" s="148"/>
      <c r="I1261" s="176">
        <f>(1.2*1.2+0.7*2.1)*7</f>
        <v>20.37</v>
      </c>
      <c r="J1261" s="170">
        <f t="shared" si="64"/>
        <v>185.90599999999998</v>
      </c>
      <c r="L1261" s="10"/>
      <c r="M1261" s="10"/>
      <c r="N1261" s="10"/>
      <c r="O1261" s="10"/>
      <c r="P1261" s="10"/>
      <c r="Q1261" s="10"/>
      <c r="R1261" s="10"/>
      <c r="S1261" s="10"/>
      <c r="T1261" s="10"/>
      <c r="U1261" s="10"/>
      <c r="V1261" s="10"/>
      <c r="W1261" s="10"/>
      <c r="X1261" s="10"/>
      <c r="Y1261" s="10"/>
    </row>
    <row r="1262" spans="1:25" ht="16.5" customHeight="1" x14ac:dyDescent="0.2">
      <c r="A1262" s="413"/>
      <c r="B1262" s="414"/>
      <c r="C1262" s="33" t="s">
        <v>321</v>
      </c>
      <c r="D1262" s="148">
        <f>(2.4+5.23+2.4+2.03+1.05+1.2+1.05)</f>
        <v>15.360000000000001</v>
      </c>
      <c r="E1262" s="148"/>
      <c r="F1262" s="148">
        <f t="shared" si="65"/>
        <v>2.78</v>
      </c>
      <c r="G1262" s="148">
        <v>7</v>
      </c>
      <c r="H1262" s="148"/>
      <c r="I1262" s="176">
        <f>(1.8*1.2+3*0.7*2.1+0.8*2.1)*7</f>
        <v>57.75</v>
      </c>
      <c r="J1262" s="170">
        <f t="shared" si="64"/>
        <v>241.15559999999999</v>
      </c>
      <c r="L1262" s="10"/>
      <c r="M1262" s="10"/>
      <c r="N1262" s="10"/>
      <c r="O1262" s="10"/>
      <c r="P1262" s="10"/>
      <c r="Q1262" s="10"/>
      <c r="R1262" s="10"/>
      <c r="S1262" s="10"/>
      <c r="T1262" s="10"/>
      <c r="U1262" s="10"/>
      <c r="V1262" s="10"/>
      <c r="W1262" s="10"/>
      <c r="X1262" s="10"/>
      <c r="Y1262" s="10"/>
    </row>
    <row r="1263" spans="1:25" ht="16.5" customHeight="1" x14ac:dyDescent="0.2">
      <c r="A1263" s="411"/>
      <c r="B1263" s="415"/>
      <c r="C1263" s="33" t="s">
        <v>322</v>
      </c>
      <c r="D1263" s="148"/>
      <c r="E1263" s="148"/>
      <c r="F1263" s="148"/>
      <c r="G1263" s="148">
        <v>7</v>
      </c>
      <c r="H1263" s="148">
        <v>39.57</v>
      </c>
      <c r="I1263" s="176"/>
      <c r="J1263" s="170">
        <f t="shared" si="64"/>
        <v>276.99</v>
      </c>
      <c r="L1263" s="10"/>
      <c r="M1263" s="10"/>
      <c r="N1263" s="10"/>
      <c r="O1263" s="10"/>
      <c r="P1263" s="10"/>
      <c r="Q1263" s="10"/>
      <c r="R1263" s="10"/>
      <c r="S1263" s="10"/>
      <c r="T1263" s="10"/>
      <c r="U1263" s="10"/>
      <c r="V1263" s="10"/>
      <c r="W1263" s="10"/>
      <c r="X1263" s="10"/>
      <c r="Y1263" s="10"/>
    </row>
    <row r="1264" spans="1:25" ht="16.5" customHeight="1" x14ac:dyDescent="0.2">
      <c r="A1264" s="413" t="s">
        <v>672</v>
      </c>
      <c r="B1264" s="414"/>
      <c r="C1264" s="33" t="s">
        <v>319</v>
      </c>
      <c r="D1264" s="148">
        <f>2.6*2+2.9*2</f>
        <v>11</v>
      </c>
      <c r="E1264" s="148"/>
      <c r="F1264" s="148">
        <f t="shared" ref="F1264:F1266" si="66">2.9-0.12</f>
        <v>2.78</v>
      </c>
      <c r="G1264" s="148">
        <v>7</v>
      </c>
      <c r="H1264" s="148"/>
      <c r="I1264" s="176">
        <f>(1.2*1.2+0.7*2.1)*7</f>
        <v>20.37</v>
      </c>
      <c r="J1264" s="170">
        <f t="shared" si="64"/>
        <v>193.69</v>
      </c>
      <c r="L1264" s="10"/>
      <c r="M1264" s="10"/>
      <c r="N1264" s="10"/>
      <c r="O1264" s="10"/>
      <c r="P1264" s="10"/>
      <c r="Q1264" s="10"/>
      <c r="R1264" s="10"/>
      <c r="S1264" s="10"/>
      <c r="T1264" s="10"/>
      <c r="U1264" s="10"/>
      <c r="V1264" s="10"/>
      <c r="W1264" s="10"/>
      <c r="X1264" s="10"/>
      <c r="Y1264" s="10"/>
    </row>
    <row r="1265" spans="1:25" ht="16.5" customHeight="1" x14ac:dyDescent="0.2">
      <c r="A1265" s="413"/>
      <c r="B1265" s="414"/>
      <c r="C1265" s="33" t="s">
        <v>320</v>
      </c>
      <c r="D1265" s="148">
        <f>2.4*2+2.9*2</f>
        <v>10.6</v>
      </c>
      <c r="E1265" s="148"/>
      <c r="F1265" s="148">
        <f t="shared" si="66"/>
        <v>2.78</v>
      </c>
      <c r="G1265" s="148">
        <v>7</v>
      </c>
      <c r="H1265" s="148"/>
      <c r="I1265" s="176">
        <f>(1.2*1.2+0.7*2.1)*7</f>
        <v>20.37</v>
      </c>
      <c r="J1265" s="170">
        <f t="shared" si="64"/>
        <v>185.90599999999998</v>
      </c>
      <c r="L1265" s="10"/>
      <c r="M1265" s="10"/>
      <c r="N1265" s="10"/>
      <c r="O1265" s="10"/>
      <c r="P1265" s="10"/>
      <c r="Q1265" s="10"/>
      <c r="R1265" s="10"/>
      <c r="S1265" s="10"/>
      <c r="T1265" s="10"/>
      <c r="U1265" s="10"/>
      <c r="V1265" s="10"/>
      <c r="W1265" s="10"/>
      <c r="X1265" s="10"/>
      <c r="Y1265" s="10"/>
    </row>
    <row r="1266" spans="1:25" ht="16.5" customHeight="1" x14ac:dyDescent="0.2">
      <c r="A1266" s="413"/>
      <c r="B1266" s="414"/>
      <c r="C1266" s="33" t="s">
        <v>321</v>
      </c>
      <c r="D1266" s="148">
        <f>(2.4+5.23+2.4+2.03+1.05+1.2+1.05)</f>
        <v>15.360000000000001</v>
      </c>
      <c r="E1266" s="148"/>
      <c r="F1266" s="148">
        <f t="shared" si="66"/>
        <v>2.78</v>
      </c>
      <c r="G1266" s="148">
        <v>7</v>
      </c>
      <c r="H1266" s="148"/>
      <c r="I1266" s="176">
        <f>(1.8*1.2+3*0.7*2.1+0.8*2.1)*7</f>
        <v>57.75</v>
      </c>
      <c r="J1266" s="170">
        <f t="shared" si="64"/>
        <v>241.15559999999999</v>
      </c>
      <c r="L1266" s="10"/>
      <c r="M1266" s="10"/>
      <c r="N1266" s="10"/>
      <c r="O1266" s="10"/>
      <c r="P1266" s="10"/>
      <c r="Q1266" s="10"/>
      <c r="R1266" s="10"/>
      <c r="S1266" s="10"/>
      <c r="T1266" s="10"/>
      <c r="U1266" s="10"/>
      <c r="V1266" s="10"/>
      <c r="W1266" s="10"/>
      <c r="X1266" s="10"/>
      <c r="Y1266" s="10"/>
    </row>
    <row r="1267" spans="1:25" ht="16.5" customHeight="1" x14ac:dyDescent="0.2">
      <c r="A1267" s="411"/>
      <c r="B1267" s="415"/>
      <c r="C1267" s="33" t="s">
        <v>322</v>
      </c>
      <c r="D1267" s="148"/>
      <c r="E1267" s="148"/>
      <c r="F1267" s="148"/>
      <c r="G1267" s="148">
        <v>7</v>
      </c>
      <c r="H1267" s="148">
        <v>39.57</v>
      </c>
      <c r="I1267" s="176"/>
      <c r="J1267" s="170">
        <f t="shared" si="64"/>
        <v>276.99</v>
      </c>
      <c r="L1267" s="10"/>
      <c r="M1267" s="10"/>
      <c r="N1267" s="10"/>
      <c r="O1267" s="10"/>
      <c r="P1267" s="10"/>
      <c r="Q1267" s="10"/>
      <c r="R1267" s="10"/>
      <c r="S1267" s="10"/>
      <c r="T1267" s="10"/>
      <c r="U1267" s="10"/>
      <c r="V1267" s="10"/>
      <c r="W1267" s="10"/>
      <c r="X1267" s="10"/>
      <c r="Y1267" s="10"/>
    </row>
    <row r="1268" spans="1:25" ht="16.5" customHeight="1" x14ac:dyDescent="0.2">
      <c r="A1268" s="413" t="s">
        <v>673</v>
      </c>
      <c r="B1268" s="414"/>
      <c r="C1268" s="33" t="s">
        <v>319</v>
      </c>
      <c r="D1268" s="148">
        <f>2.6*2+2.9*2</f>
        <v>11</v>
      </c>
      <c r="E1268" s="148"/>
      <c r="F1268" s="148">
        <f t="shared" ref="F1268:F1270" si="67">2.9-0.12</f>
        <v>2.78</v>
      </c>
      <c r="G1268" s="148">
        <v>7</v>
      </c>
      <c r="H1268" s="148"/>
      <c r="I1268" s="176">
        <f>(1.2*1.2+0.8*2.1)*7</f>
        <v>21.84</v>
      </c>
      <c r="J1268" s="170">
        <f t="shared" si="64"/>
        <v>192.22</v>
      </c>
      <c r="L1268" s="10"/>
      <c r="M1268" s="10"/>
      <c r="N1268" s="10"/>
      <c r="O1268" s="10"/>
      <c r="P1268" s="10"/>
      <c r="Q1268" s="10"/>
      <c r="R1268" s="10"/>
      <c r="S1268" s="10"/>
      <c r="T1268" s="10"/>
      <c r="U1268" s="10"/>
      <c r="V1268" s="10"/>
      <c r="W1268" s="10"/>
      <c r="X1268" s="10"/>
      <c r="Y1268" s="10"/>
    </row>
    <row r="1269" spans="1:25" ht="16.5" customHeight="1" x14ac:dyDescent="0.2">
      <c r="A1269" s="413"/>
      <c r="B1269" s="414"/>
      <c r="C1269" s="33" t="s">
        <v>320</v>
      </c>
      <c r="D1269" s="148">
        <f>2.4*2+2.9*2</f>
        <v>10.6</v>
      </c>
      <c r="E1269" s="148"/>
      <c r="F1269" s="148">
        <f t="shared" si="67"/>
        <v>2.78</v>
      </c>
      <c r="G1269" s="148">
        <v>7</v>
      </c>
      <c r="H1269" s="148"/>
      <c r="I1269" s="176">
        <f>(1.2*1.2+0.8*2.1)*7</f>
        <v>21.84</v>
      </c>
      <c r="J1269" s="170">
        <f t="shared" si="64"/>
        <v>184.43599999999998</v>
      </c>
      <c r="L1269" s="10"/>
      <c r="M1269" s="10"/>
      <c r="N1269" s="10"/>
      <c r="O1269" s="10"/>
      <c r="P1269" s="10"/>
      <c r="Q1269" s="10"/>
      <c r="R1269" s="10"/>
      <c r="S1269" s="10"/>
      <c r="T1269" s="10"/>
      <c r="U1269" s="10"/>
      <c r="V1269" s="10"/>
      <c r="W1269" s="10"/>
      <c r="X1269" s="10"/>
      <c r="Y1269" s="10"/>
    </row>
    <row r="1270" spans="1:25" ht="16.5" customHeight="1" x14ac:dyDescent="0.2">
      <c r="A1270" s="413"/>
      <c r="B1270" s="414"/>
      <c r="C1270" s="33" t="s">
        <v>321</v>
      </c>
      <c r="D1270" s="148">
        <f>(2.4+5.23+2.4+2.03+1.05+1.2+1.05)</f>
        <v>15.360000000000001</v>
      </c>
      <c r="E1270" s="148"/>
      <c r="F1270" s="148">
        <f t="shared" si="67"/>
        <v>2.78</v>
      </c>
      <c r="G1270" s="148">
        <v>7</v>
      </c>
      <c r="H1270" s="148"/>
      <c r="I1270" s="176">
        <f>(1.8*1.2+4*0.8*2.1)*7</f>
        <v>62.160000000000004</v>
      </c>
      <c r="J1270" s="170">
        <f t="shared" si="64"/>
        <v>236.7456</v>
      </c>
      <c r="L1270" s="10"/>
      <c r="M1270" s="10"/>
      <c r="N1270" s="10"/>
      <c r="O1270" s="10"/>
      <c r="P1270" s="10"/>
      <c r="Q1270" s="10"/>
      <c r="R1270" s="10"/>
      <c r="S1270" s="10"/>
      <c r="T1270" s="10"/>
      <c r="U1270" s="10"/>
      <c r="V1270" s="10"/>
      <c r="W1270" s="10"/>
      <c r="X1270" s="10"/>
      <c r="Y1270" s="10"/>
    </row>
    <row r="1271" spans="1:25" ht="16.5" customHeight="1" x14ac:dyDescent="0.2">
      <c r="A1271" s="411"/>
      <c r="B1271" s="415"/>
      <c r="C1271" s="33" t="s">
        <v>322</v>
      </c>
      <c r="D1271" s="148"/>
      <c r="E1271" s="148"/>
      <c r="F1271" s="148"/>
      <c r="G1271" s="148">
        <v>7</v>
      </c>
      <c r="H1271" s="148">
        <v>39.57</v>
      </c>
      <c r="I1271" s="176"/>
      <c r="J1271" s="170">
        <f t="shared" si="64"/>
        <v>276.99</v>
      </c>
      <c r="L1271" s="10"/>
      <c r="M1271" s="10"/>
      <c r="N1271" s="10"/>
      <c r="O1271" s="10"/>
      <c r="P1271" s="10"/>
      <c r="Q1271" s="10"/>
      <c r="R1271" s="10"/>
      <c r="S1271" s="10"/>
      <c r="T1271" s="10"/>
      <c r="U1271" s="10"/>
      <c r="V1271" s="10"/>
      <c r="W1271" s="10"/>
      <c r="X1271" s="10"/>
      <c r="Y1271" s="10"/>
    </row>
    <row r="1272" spans="1:25" ht="16.5" customHeight="1" x14ac:dyDescent="0.2">
      <c r="A1272" s="413" t="s">
        <v>674</v>
      </c>
      <c r="B1272" s="414"/>
      <c r="C1272" s="33" t="s">
        <v>319</v>
      </c>
      <c r="D1272" s="148">
        <f>2.6*2+2.9*2</f>
        <v>11</v>
      </c>
      <c r="E1272" s="148"/>
      <c r="F1272" s="148">
        <f t="shared" ref="F1272:F1274" si="68">2.9-0.12</f>
        <v>2.78</v>
      </c>
      <c r="G1272" s="148">
        <v>7</v>
      </c>
      <c r="H1272" s="148"/>
      <c r="I1272" s="176">
        <f>(1.2*1.2+0.7*2.1)*7</f>
        <v>20.37</v>
      </c>
      <c r="J1272" s="170">
        <f t="shared" si="64"/>
        <v>193.69</v>
      </c>
      <c r="L1272" s="10"/>
      <c r="M1272" s="10"/>
      <c r="N1272" s="10"/>
      <c r="O1272" s="10"/>
      <c r="P1272" s="10"/>
      <c r="Q1272" s="10"/>
      <c r="R1272" s="10"/>
      <c r="S1272" s="10"/>
      <c r="T1272" s="10"/>
      <c r="U1272" s="10"/>
      <c r="V1272" s="10"/>
      <c r="W1272" s="10"/>
      <c r="X1272" s="10"/>
      <c r="Y1272" s="10"/>
    </row>
    <row r="1273" spans="1:25" ht="16.5" customHeight="1" x14ac:dyDescent="0.2">
      <c r="A1273" s="413"/>
      <c r="B1273" s="414"/>
      <c r="C1273" s="33" t="s">
        <v>320</v>
      </c>
      <c r="D1273" s="148">
        <f>2.4*2+2.9*2</f>
        <v>10.6</v>
      </c>
      <c r="E1273" s="148"/>
      <c r="F1273" s="148">
        <f t="shared" si="68"/>
        <v>2.78</v>
      </c>
      <c r="G1273" s="148">
        <v>7</v>
      </c>
      <c r="H1273" s="148"/>
      <c r="I1273" s="176">
        <f>(1.2*1.2+0.7*2.1)*7</f>
        <v>20.37</v>
      </c>
      <c r="J1273" s="170">
        <f t="shared" si="64"/>
        <v>185.90599999999998</v>
      </c>
      <c r="L1273" s="10"/>
      <c r="M1273" s="10"/>
      <c r="N1273" s="10"/>
      <c r="O1273" s="10"/>
      <c r="P1273" s="10"/>
      <c r="Q1273" s="10"/>
      <c r="R1273" s="10"/>
      <c r="S1273" s="10"/>
      <c r="T1273" s="10"/>
      <c r="U1273" s="10"/>
      <c r="V1273" s="10"/>
      <c r="W1273" s="10"/>
      <c r="X1273" s="10"/>
      <c r="Y1273" s="10"/>
    </row>
    <row r="1274" spans="1:25" ht="16.5" customHeight="1" x14ac:dyDescent="0.2">
      <c r="A1274" s="413"/>
      <c r="B1274" s="414"/>
      <c r="C1274" s="33" t="s">
        <v>321</v>
      </c>
      <c r="D1274" s="148">
        <f>(2.4+5.23+2.4+2.03+1.05+1.2+1.05)</f>
        <v>15.360000000000001</v>
      </c>
      <c r="E1274" s="148"/>
      <c r="F1274" s="148">
        <f t="shared" si="68"/>
        <v>2.78</v>
      </c>
      <c r="G1274" s="148">
        <v>7</v>
      </c>
      <c r="H1274" s="148"/>
      <c r="I1274" s="176">
        <f>(1.8*1.2+3*0.7*2.1+0.8*2.1)*7</f>
        <v>57.75</v>
      </c>
      <c r="J1274" s="170">
        <f t="shared" si="64"/>
        <v>241.15559999999999</v>
      </c>
      <c r="L1274" s="10"/>
      <c r="M1274" s="10"/>
      <c r="N1274" s="10"/>
      <c r="O1274" s="10"/>
      <c r="P1274" s="10"/>
      <c r="Q1274" s="10"/>
      <c r="R1274" s="10"/>
      <c r="S1274" s="10"/>
      <c r="T1274" s="10"/>
      <c r="U1274" s="10"/>
      <c r="V1274" s="10"/>
      <c r="W1274" s="10"/>
      <c r="X1274" s="10"/>
      <c r="Y1274" s="10"/>
    </row>
    <row r="1275" spans="1:25" ht="16.5" customHeight="1" x14ac:dyDescent="0.2">
      <c r="A1275" s="411"/>
      <c r="B1275" s="415"/>
      <c r="C1275" s="33" t="s">
        <v>322</v>
      </c>
      <c r="D1275" s="148"/>
      <c r="E1275" s="148"/>
      <c r="F1275" s="148"/>
      <c r="G1275" s="148">
        <v>7</v>
      </c>
      <c r="H1275" s="148">
        <v>39.57</v>
      </c>
      <c r="I1275" s="176"/>
      <c r="J1275" s="170">
        <f t="shared" si="64"/>
        <v>276.99</v>
      </c>
      <c r="L1275" s="10"/>
      <c r="M1275" s="10"/>
      <c r="N1275" s="10"/>
      <c r="O1275" s="10"/>
      <c r="P1275" s="10"/>
      <c r="Q1275" s="10"/>
      <c r="R1275" s="10"/>
      <c r="S1275" s="10"/>
      <c r="T1275" s="10"/>
      <c r="U1275" s="10"/>
      <c r="V1275" s="10"/>
      <c r="W1275" s="10"/>
      <c r="X1275" s="10"/>
      <c r="Y1275" s="10"/>
    </row>
    <row r="1276" spans="1:25" ht="16.5" customHeight="1" x14ac:dyDescent="0.2">
      <c r="A1276" s="409" t="s">
        <v>784</v>
      </c>
      <c r="B1276" s="410"/>
      <c r="C1276" s="33" t="s">
        <v>322</v>
      </c>
      <c r="D1276" s="148"/>
      <c r="E1276" s="148"/>
      <c r="F1276" s="148"/>
      <c r="G1276" s="148">
        <v>7</v>
      </c>
      <c r="H1276" s="148">
        <f>ROUND(4.44*4.63,2)</f>
        <v>20.56</v>
      </c>
      <c r="I1276" s="175"/>
      <c r="J1276" s="170">
        <f t="shared" si="64"/>
        <v>143.91999999999999</v>
      </c>
      <c r="L1276" s="10"/>
      <c r="M1276" s="10"/>
      <c r="N1276" s="10"/>
      <c r="O1276" s="10"/>
      <c r="P1276" s="10"/>
      <c r="Q1276" s="10"/>
      <c r="R1276" s="10"/>
      <c r="S1276" s="10"/>
      <c r="T1276" s="10"/>
      <c r="U1276" s="10"/>
      <c r="V1276" s="10"/>
      <c r="W1276" s="10"/>
      <c r="X1276" s="10"/>
      <c r="Y1276" s="10"/>
    </row>
    <row r="1277" spans="1:25" ht="16.5" customHeight="1" x14ac:dyDescent="0.2">
      <c r="A1277" s="411"/>
      <c r="B1277" s="412"/>
      <c r="C1277" s="33" t="s">
        <v>323</v>
      </c>
      <c r="D1277" s="148">
        <f>4.44*2+4.63*2+2.03+0.87*2+0.15*2+0.72*2+1.74</f>
        <v>25.39</v>
      </c>
      <c r="E1277" s="148"/>
      <c r="F1277" s="148">
        <f t="shared" ref="F1277:F1280" si="69">2.9-0.12</f>
        <v>2.78</v>
      </c>
      <c r="G1277" s="148">
        <v>7</v>
      </c>
      <c r="H1277" s="148"/>
      <c r="I1277" s="176">
        <f>(4*0.8*2.1+2*0.6*1.2+0.8*1.6)*7</f>
        <v>66.080000000000013</v>
      </c>
      <c r="J1277" s="170">
        <f t="shared" si="64"/>
        <v>428.00939999999991</v>
      </c>
      <c r="L1277" s="10"/>
      <c r="M1277" s="10"/>
      <c r="N1277" s="10"/>
      <c r="O1277" s="10"/>
      <c r="P1277" s="10"/>
      <c r="Q1277" s="10"/>
      <c r="R1277" s="10"/>
      <c r="S1277" s="10"/>
      <c r="T1277" s="10"/>
      <c r="U1277" s="10"/>
      <c r="V1277" s="10"/>
      <c r="W1277" s="10"/>
      <c r="X1277" s="10"/>
      <c r="Y1277" s="10"/>
    </row>
    <row r="1278" spans="1:25" ht="16.5" customHeight="1" x14ac:dyDescent="0.2">
      <c r="A1278" s="413" t="s">
        <v>675</v>
      </c>
      <c r="B1278" s="414"/>
      <c r="C1278" s="33" t="s">
        <v>319</v>
      </c>
      <c r="D1278" s="148">
        <f>2.6*2+2.9*2</f>
        <v>11</v>
      </c>
      <c r="E1278" s="148"/>
      <c r="F1278" s="148">
        <f t="shared" si="69"/>
        <v>2.78</v>
      </c>
      <c r="G1278" s="148">
        <v>7</v>
      </c>
      <c r="H1278" s="148"/>
      <c r="I1278" s="176">
        <f>(1.2*1.2+0.7*2.1)*7</f>
        <v>20.37</v>
      </c>
      <c r="J1278" s="170">
        <f t="shared" si="64"/>
        <v>193.69</v>
      </c>
      <c r="L1278" s="10"/>
      <c r="M1278" s="10"/>
      <c r="N1278" s="10"/>
      <c r="O1278" s="10"/>
      <c r="P1278" s="10"/>
      <c r="Q1278" s="10"/>
      <c r="R1278" s="10"/>
      <c r="S1278" s="10"/>
      <c r="T1278" s="10"/>
      <c r="U1278" s="10"/>
      <c r="V1278" s="10"/>
      <c r="W1278" s="10"/>
      <c r="X1278" s="10"/>
      <c r="Y1278" s="10"/>
    </row>
    <row r="1279" spans="1:25" ht="16.5" customHeight="1" x14ac:dyDescent="0.2">
      <c r="A1279" s="413"/>
      <c r="B1279" s="414"/>
      <c r="C1279" s="33" t="s">
        <v>320</v>
      </c>
      <c r="D1279" s="148">
        <f>2.4*2+2.9*2</f>
        <v>10.6</v>
      </c>
      <c r="E1279" s="148"/>
      <c r="F1279" s="148">
        <f t="shared" si="69"/>
        <v>2.78</v>
      </c>
      <c r="G1279" s="148">
        <v>7</v>
      </c>
      <c r="H1279" s="148"/>
      <c r="I1279" s="176">
        <f>(1.2*1.2+0.7*2.1)*7</f>
        <v>20.37</v>
      </c>
      <c r="J1279" s="170">
        <f t="shared" si="64"/>
        <v>185.90599999999998</v>
      </c>
      <c r="L1279" s="10"/>
      <c r="M1279" s="10"/>
      <c r="N1279" s="10"/>
      <c r="O1279" s="10"/>
      <c r="P1279" s="10"/>
      <c r="Q1279" s="10"/>
      <c r="R1279" s="10"/>
      <c r="S1279" s="10"/>
      <c r="T1279" s="10"/>
      <c r="U1279" s="10"/>
      <c r="V1279" s="10"/>
      <c r="W1279" s="10"/>
      <c r="X1279" s="10"/>
      <c r="Y1279" s="10"/>
    </row>
    <row r="1280" spans="1:25" ht="16.5" customHeight="1" x14ac:dyDescent="0.2">
      <c r="A1280" s="413"/>
      <c r="B1280" s="414"/>
      <c r="C1280" s="33" t="s">
        <v>321</v>
      </c>
      <c r="D1280" s="148">
        <f>(2.4+5.23+2.4+2.03+1.05+1.2+1.05)</f>
        <v>15.360000000000001</v>
      </c>
      <c r="E1280" s="148"/>
      <c r="F1280" s="148">
        <f t="shared" si="69"/>
        <v>2.78</v>
      </c>
      <c r="G1280" s="148">
        <v>7</v>
      </c>
      <c r="H1280" s="148"/>
      <c r="I1280" s="176">
        <f>(1.8*1.2+3*0.7*2.1+0.8*2.1)*7</f>
        <v>57.75</v>
      </c>
      <c r="J1280" s="170">
        <f t="shared" si="64"/>
        <v>241.15559999999999</v>
      </c>
      <c r="L1280" s="10"/>
      <c r="M1280" s="10"/>
      <c r="N1280" s="10"/>
      <c r="O1280" s="10"/>
      <c r="P1280" s="10"/>
      <c r="Q1280" s="10"/>
      <c r="R1280" s="10"/>
      <c r="S1280" s="10"/>
      <c r="T1280" s="10"/>
      <c r="U1280" s="10"/>
      <c r="V1280" s="10"/>
      <c r="W1280" s="10"/>
      <c r="X1280" s="10"/>
      <c r="Y1280" s="10"/>
    </row>
    <row r="1281" spans="1:25" ht="16.5" customHeight="1" x14ac:dyDescent="0.2">
      <c r="A1281" s="411"/>
      <c r="B1281" s="415"/>
      <c r="C1281" s="33" t="s">
        <v>322</v>
      </c>
      <c r="D1281" s="148"/>
      <c r="E1281" s="148"/>
      <c r="F1281" s="148"/>
      <c r="G1281" s="148">
        <v>7</v>
      </c>
      <c r="H1281" s="148">
        <v>39.57</v>
      </c>
      <c r="I1281" s="176"/>
      <c r="J1281" s="170">
        <f t="shared" si="64"/>
        <v>276.99</v>
      </c>
      <c r="L1281" s="10"/>
      <c r="M1281" s="10"/>
      <c r="N1281" s="10"/>
      <c r="O1281" s="10"/>
      <c r="P1281" s="10"/>
      <c r="Q1281" s="10"/>
      <c r="R1281" s="10"/>
      <c r="S1281" s="10"/>
      <c r="T1281" s="10"/>
      <c r="U1281" s="10"/>
      <c r="V1281" s="10"/>
      <c r="W1281" s="10"/>
      <c r="X1281" s="10"/>
      <c r="Y1281" s="10"/>
    </row>
    <row r="1282" spans="1:25" ht="16.5" customHeight="1" x14ac:dyDescent="0.2">
      <c r="A1282" s="413" t="s">
        <v>676</v>
      </c>
      <c r="B1282" s="414"/>
      <c r="C1282" s="33" t="s">
        <v>319</v>
      </c>
      <c r="D1282" s="148">
        <f>2.6*2+2.9*2</f>
        <v>11</v>
      </c>
      <c r="E1282" s="148"/>
      <c r="F1282" s="148">
        <f t="shared" ref="F1282:F1284" si="70">2.9-0.12</f>
        <v>2.78</v>
      </c>
      <c r="G1282" s="148">
        <v>7</v>
      </c>
      <c r="H1282" s="148"/>
      <c r="I1282" s="176">
        <f>(1.2*1.2+0.7*2.1)*7</f>
        <v>20.37</v>
      </c>
      <c r="J1282" s="170">
        <f t="shared" si="64"/>
        <v>193.69</v>
      </c>
      <c r="L1282" s="10"/>
      <c r="M1282" s="10"/>
      <c r="N1282" s="10"/>
      <c r="O1282" s="10"/>
      <c r="P1282" s="10"/>
      <c r="Q1282" s="10"/>
      <c r="R1282" s="10"/>
      <c r="S1282" s="10"/>
      <c r="T1282" s="10"/>
      <c r="U1282" s="10"/>
      <c r="V1282" s="10"/>
      <c r="W1282" s="10"/>
      <c r="X1282" s="10"/>
      <c r="Y1282" s="10"/>
    </row>
    <row r="1283" spans="1:25" ht="16.5" customHeight="1" x14ac:dyDescent="0.2">
      <c r="A1283" s="413"/>
      <c r="B1283" s="414"/>
      <c r="C1283" s="33" t="s">
        <v>320</v>
      </c>
      <c r="D1283" s="148">
        <f>2.4*2+2.9*2</f>
        <v>10.6</v>
      </c>
      <c r="E1283" s="148"/>
      <c r="F1283" s="148">
        <f t="shared" si="70"/>
        <v>2.78</v>
      </c>
      <c r="G1283" s="148">
        <v>7</v>
      </c>
      <c r="H1283" s="148"/>
      <c r="I1283" s="176">
        <f>(1.2*1.2+0.7*2.1)*7</f>
        <v>20.37</v>
      </c>
      <c r="J1283" s="170">
        <f t="shared" si="64"/>
        <v>185.90599999999998</v>
      </c>
      <c r="L1283" s="10"/>
      <c r="M1283" s="10"/>
      <c r="N1283" s="10"/>
      <c r="O1283" s="10"/>
      <c r="P1283" s="10"/>
      <c r="Q1283" s="10"/>
      <c r="R1283" s="10"/>
      <c r="S1283" s="10"/>
      <c r="T1283" s="10"/>
      <c r="U1283" s="10"/>
      <c r="V1283" s="10"/>
      <c r="W1283" s="10"/>
      <c r="X1283" s="10"/>
      <c r="Y1283" s="10"/>
    </row>
    <row r="1284" spans="1:25" ht="16.5" customHeight="1" x14ac:dyDescent="0.2">
      <c r="A1284" s="413"/>
      <c r="B1284" s="414"/>
      <c r="C1284" s="33" t="s">
        <v>321</v>
      </c>
      <c r="D1284" s="148">
        <f>(2.4+5.23+2.4+2.03+1.05+1.2+1.05)</f>
        <v>15.360000000000001</v>
      </c>
      <c r="E1284" s="148"/>
      <c r="F1284" s="148">
        <f t="shared" si="70"/>
        <v>2.78</v>
      </c>
      <c r="G1284" s="148">
        <v>7</v>
      </c>
      <c r="H1284" s="148"/>
      <c r="I1284" s="176">
        <f>(1.8*1.2+3*0.7*2.1+0.8*2.1)*7</f>
        <v>57.75</v>
      </c>
      <c r="J1284" s="170">
        <f t="shared" si="64"/>
        <v>241.15559999999999</v>
      </c>
      <c r="L1284" s="10"/>
      <c r="M1284" s="10"/>
      <c r="N1284" s="10"/>
      <c r="O1284" s="10"/>
      <c r="P1284" s="10"/>
      <c r="Q1284" s="10"/>
      <c r="R1284" s="10"/>
      <c r="S1284" s="10"/>
      <c r="T1284" s="10"/>
      <c r="U1284" s="10"/>
      <c r="V1284" s="10"/>
      <c r="W1284" s="10"/>
      <c r="X1284" s="10"/>
      <c r="Y1284" s="10"/>
    </row>
    <row r="1285" spans="1:25" ht="16.5" customHeight="1" x14ac:dyDescent="0.2">
      <c r="A1285" s="411"/>
      <c r="B1285" s="415"/>
      <c r="C1285" s="33" t="s">
        <v>322</v>
      </c>
      <c r="D1285" s="148"/>
      <c r="E1285" s="148"/>
      <c r="F1285" s="148"/>
      <c r="G1285" s="148">
        <v>7</v>
      </c>
      <c r="H1285" s="148">
        <v>39.57</v>
      </c>
      <c r="I1285" s="176"/>
      <c r="J1285" s="170">
        <f t="shared" si="64"/>
        <v>276.99</v>
      </c>
      <c r="L1285" s="10"/>
      <c r="M1285" s="10"/>
      <c r="N1285" s="10"/>
      <c r="O1285" s="10"/>
      <c r="P1285" s="10"/>
      <c r="Q1285" s="10"/>
      <c r="R1285" s="10"/>
      <c r="S1285" s="10"/>
      <c r="T1285" s="10"/>
      <c r="U1285" s="10"/>
      <c r="V1285" s="10"/>
      <c r="W1285" s="10"/>
      <c r="X1285" s="10"/>
      <c r="Y1285" s="10"/>
    </row>
    <row r="1286" spans="1:25" ht="16.5" customHeight="1" x14ac:dyDescent="0.2">
      <c r="A1286" s="413" t="s">
        <v>677</v>
      </c>
      <c r="B1286" s="414"/>
      <c r="C1286" s="33" t="s">
        <v>319</v>
      </c>
      <c r="D1286" s="148">
        <f>2.6*2+2.9*2</f>
        <v>11</v>
      </c>
      <c r="E1286" s="148"/>
      <c r="F1286" s="148">
        <f t="shared" ref="F1286:F1288" si="71">2.9-0.12</f>
        <v>2.78</v>
      </c>
      <c r="G1286" s="148">
        <v>7</v>
      </c>
      <c r="H1286" s="148"/>
      <c r="I1286" s="176">
        <f>(1.2*1.2+0.7*2.1)*7</f>
        <v>20.37</v>
      </c>
      <c r="J1286" s="170">
        <f t="shared" si="64"/>
        <v>193.69</v>
      </c>
      <c r="L1286" s="10"/>
      <c r="M1286" s="10"/>
      <c r="N1286" s="10"/>
      <c r="O1286" s="10"/>
      <c r="P1286" s="10"/>
      <c r="Q1286" s="10"/>
      <c r="R1286" s="10"/>
      <c r="S1286" s="10"/>
      <c r="T1286" s="10"/>
      <c r="U1286" s="10"/>
      <c r="V1286" s="10"/>
      <c r="W1286" s="10"/>
      <c r="X1286" s="10"/>
      <c r="Y1286" s="10"/>
    </row>
    <row r="1287" spans="1:25" ht="16.5" customHeight="1" x14ac:dyDescent="0.2">
      <c r="A1287" s="413"/>
      <c r="B1287" s="414"/>
      <c r="C1287" s="33" t="s">
        <v>320</v>
      </c>
      <c r="D1287" s="148">
        <f>2.4*2+2.9*2</f>
        <v>10.6</v>
      </c>
      <c r="E1287" s="148"/>
      <c r="F1287" s="148">
        <f t="shared" si="71"/>
        <v>2.78</v>
      </c>
      <c r="G1287" s="148">
        <v>7</v>
      </c>
      <c r="H1287" s="148"/>
      <c r="I1287" s="176">
        <f>(1.2*1.2+0.7*2.1)*7</f>
        <v>20.37</v>
      </c>
      <c r="J1287" s="170">
        <f t="shared" si="64"/>
        <v>185.90599999999998</v>
      </c>
      <c r="L1287" s="10"/>
      <c r="M1287" s="10"/>
      <c r="N1287" s="10"/>
      <c r="O1287" s="10"/>
      <c r="P1287" s="10"/>
      <c r="Q1287" s="10"/>
      <c r="R1287" s="10"/>
      <c r="S1287" s="10"/>
      <c r="T1287" s="10"/>
      <c r="U1287" s="10"/>
      <c r="V1287" s="10"/>
      <c r="W1287" s="10"/>
      <c r="X1287" s="10"/>
      <c r="Y1287" s="10"/>
    </row>
    <row r="1288" spans="1:25" ht="16.5" customHeight="1" x14ac:dyDescent="0.2">
      <c r="A1288" s="413"/>
      <c r="B1288" s="414"/>
      <c r="C1288" s="33" t="s">
        <v>321</v>
      </c>
      <c r="D1288" s="148">
        <f>(2.4+5.23+2.4+2.03+1.05+1.2+1.05)</f>
        <v>15.360000000000001</v>
      </c>
      <c r="E1288" s="148"/>
      <c r="F1288" s="148">
        <f t="shared" si="71"/>
        <v>2.78</v>
      </c>
      <c r="G1288" s="148">
        <v>7</v>
      </c>
      <c r="H1288" s="148"/>
      <c r="I1288" s="176">
        <f>(1.8*1.2+3*0.7*2.1+0.8*2.1)*7</f>
        <v>57.75</v>
      </c>
      <c r="J1288" s="170">
        <f t="shared" si="64"/>
        <v>241.15559999999999</v>
      </c>
      <c r="L1288" s="10"/>
      <c r="M1288" s="10"/>
      <c r="N1288" s="10"/>
      <c r="O1288" s="10"/>
      <c r="P1288" s="10"/>
      <c r="Q1288" s="10"/>
      <c r="R1288" s="10"/>
      <c r="S1288" s="10"/>
      <c r="T1288" s="10"/>
      <c r="U1288" s="10"/>
      <c r="V1288" s="10"/>
      <c r="W1288" s="10"/>
      <c r="X1288" s="10"/>
      <c r="Y1288" s="10"/>
    </row>
    <row r="1289" spans="1:25" ht="16.5" customHeight="1" x14ac:dyDescent="0.2">
      <c r="A1289" s="411"/>
      <c r="B1289" s="415"/>
      <c r="C1289" s="33" t="s">
        <v>322</v>
      </c>
      <c r="D1289" s="148"/>
      <c r="E1289" s="148"/>
      <c r="F1289" s="148"/>
      <c r="G1289" s="148">
        <v>7</v>
      </c>
      <c r="H1289" s="148">
        <v>39.57</v>
      </c>
      <c r="I1289" s="176"/>
      <c r="J1289" s="170">
        <f t="shared" si="64"/>
        <v>276.99</v>
      </c>
      <c r="L1289" s="10"/>
      <c r="M1289" s="10"/>
      <c r="N1289" s="10"/>
      <c r="O1289" s="10"/>
      <c r="P1289" s="10"/>
      <c r="Q1289" s="10"/>
      <c r="R1289" s="10"/>
      <c r="S1289" s="10"/>
      <c r="T1289" s="10"/>
      <c r="U1289" s="10"/>
      <c r="V1289" s="10"/>
      <c r="W1289" s="10"/>
      <c r="X1289" s="10"/>
      <c r="Y1289" s="10"/>
    </row>
    <row r="1290" spans="1:25" ht="16.5" customHeight="1" x14ac:dyDescent="0.2">
      <c r="A1290" s="413" t="s">
        <v>814</v>
      </c>
      <c r="B1290" s="414"/>
      <c r="C1290" s="33" t="s">
        <v>319</v>
      </c>
      <c r="D1290" s="148">
        <f>2.6*2+2.9*2</f>
        <v>11</v>
      </c>
      <c r="E1290" s="148"/>
      <c r="F1290" s="148">
        <f t="shared" ref="F1290:F1292" si="72">2.9-0.12</f>
        <v>2.78</v>
      </c>
      <c r="G1290" s="148">
        <v>7</v>
      </c>
      <c r="H1290" s="148"/>
      <c r="I1290" s="176">
        <f>(1.2*1.2+0.7*2.1)*7</f>
        <v>20.37</v>
      </c>
      <c r="J1290" s="170">
        <f t="shared" si="64"/>
        <v>193.69</v>
      </c>
      <c r="L1290" s="10"/>
      <c r="M1290" s="10"/>
      <c r="N1290" s="10"/>
      <c r="O1290" s="10"/>
      <c r="P1290" s="10"/>
      <c r="Q1290" s="10"/>
      <c r="R1290" s="10"/>
      <c r="S1290" s="10"/>
      <c r="T1290" s="10"/>
      <c r="U1290" s="10"/>
      <c r="V1290" s="10"/>
      <c r="W1290" s="10"/>
      <c r="X1290" s="10"/>
      <c r="Y1290" s="10"/>
    </row>
    <row r="1291" spans="1:25" ht="16.5" customHeight="1" x14ac:dyDescent="0.2">
      <c r="A1291" s="413"/>
      <c r="B1291" s="414"/>
      <c r="C1291" s="33" t="s">
        <v>320</v>
      </c>
      <c r="D1291" s="148">
        <f>2.4*2+2.9*2</f>
        <v>10.6</v>
      </c>
      <c r="E1291" s="148"/>
      <c r="F1291" s="148">
        <f t="shared" si="72"/>
        <v>2.78</v>
      </c>
      <c r="G1291" s="148">
        <v>7</v>
      </c>
      <c r="H1291" s="148"/>
      <c r="I1291" s="176">
        <f>(1.2*1.2+0.7*2.1)*7</f>
        <v>20.37</v>
      </c>
      <c r="J1291" s="170">
        <f t="shared" si="64"/>
        <v>185.90599999999998</v>
      </c>
      <c r="L1291" s="10"/>
      <c r="M1291" s="10"/>
      <c r="N1291" s="10"/>
      <c r="O1291" s="10"/>
      <c r="P1291" s="10"/>
      <c r="Q1291" s="10"/>
      <c r="R1291" s="10"/>
      <c r="S1291" s="10"/>
      <c r="T1291" s="10"/>
      <c r="U1291" s="10"/>
      <c r="V1291" s="10"/>
      <c r="W1291" s="10"/>
      <c r="X1291" s="10"/>
      <c r="Y1291" s="10"/>
    </row>
    <row r="1292" spans="1:25" ht="16.5" customHeight="1" x14ac:dyDescent="0.2">
      <c r="A1292" s="413"/>
      <c r="B1292" s="414"/>
      <c r="C1292" s="33" t="s">
        <v>321</v>
      </c>
      <c r="D1292" s="148">
        <f>(2.4+5.23+2.4+2.03+1.05+1.2+1.05)</f>
        <v>15.360000000000001</v>
      </c>
      <c r="E1292" s="148"/>
      <c r="F1292" s="148">
        <f t="shared" si="72"/>
        <v>2.78</v>
      </c>
      <c r="G1292" s="148">
        <v>7</v>
      </c>
      <c r="H1292" s="148"/>
      <c r="I1292" s="176">
        <f>(1.8*1.2+3*0.7*2.1+0.8*2.1)*7</f>
        <v>57.75</v>
      </c>
      <c r="J1292" s="170">
        <f t="shared" si="64"/>
        <v>241.15559999999999</v>
      </c>
      <c r="L1292" s="10"/>
      <c r="M1292" s="10"/>
      <c r="N1292" s="10"/>
      <c r="O1292" s="10"/>
      <c r="P1292" s="10"/>
      <c r="Q1292" s="10"/>
      <c r="R1292" s="10"/>
      <c r="S1292" s="10"/>
      <c r="T1292" s="10"/>
      <c r="U1292" s="10"/>
      <c r="V1292" s="10"/>
      <c r="W1292" s="10"/>
      <c r="X1292" s="10"/>
      <c r="Y1292" s="10"/>
    </row>
    <row r="1293" spans="1:25" ht="16.5" customHeight="1" x14ac:dyDescent="0.2">
      <c r="A1293" s="411"/>
      <c r="B1293" s="415"/>
      <c r="C1293" s="33" t="s">
        <v>322</v>
      </c>
      <c r="D1293" s="148"/>
      <c r="E1293" s="148"/>
      <c r="F1293" s="148"/>
      <c r="G1293" s="148">
        <v>7</v>
      </c>
      <c r="H1293" s="148">
        <v>39.57</v>
      </c>
      <c r="I1293" s="176"/>
      <c r="J1293" s="170">
        <f t="shared" si="64"/>
        <v>276.99</v>
      </c>
      <c r="L1293" s="10"/>
      <c r="M1293" s="10"/>
      <c r="N1293" s="10"/>
      <c r="O1293" s="10"/>
      <c r="P1293" s="10"/>
      <c r="Q1293" s="10"/>
      <c r="R1293" s="10"/>
      <c r="S1293" s="10"/>
      <c r="T1293" s="10"/>
      <c r="U1293" s="10"/>
      <c r="V1293" s="10"/>
      <c r="W1293" s="10"/>
      <c r="X1293" s="10"/>
      <c r="Y1293" s="10"/>
    </row>
    <row r="1294" spans="1:25" ht="16.5" customHeight="1" x14ac:dyDescent="0.2">
      <c r="A1294" s="409" t="s">
        <v>815</v>
      </c>
      <c r="B1294" s="410"/>
      <c r="C1294" s="33" t="s">
        <v>322</v>
      </c>
      <c r="D1294" s="148"/>
      <c r="E1294" s="148"/>
      <c r="F1294" s="148"/>
      <c r="G1294" s="148">
        <v>7</v>
      </c>
      <c r="H1294" s="148">
        <f>ROUND(4.44*4.63,2)</f>
        <v>20.56</v>
      </c>
      <c r="I1294" s="175"/>
      <c r="J1294" s="170">
        <f t="shared" si="64"/>
        <v>143.91999999999999</v>
      </c>
      <c r="L1294" s="10"/>
      <c r="M1294" s="10"/>
      <c r="N1294" s="10"/>
      <c r="O1294" s="10"/>
      <c r="P1294" s="10"/>
      <c r="Q1294" s="10"/>
      <c r="R1294" s="10"/>
      <c r="S1294" s="10"/>
      <c r="T1294" s="10"/>
      <c r="U1294" s="10"/>
      <c r="V1294" s="10"/>
      <c r="W1294" s="10"/>
      <c r="X1294" s="10"/>
      <c r="Y1294" s="10"/>
    </row>
    <row r="1295" spans="1:25" ht="16.5" customHeight="1" x14ac:dyDescent="0.2">
      <c r="A1295" s="411"/>
      <c r="B1295" s="412"/>
      <c r="C1295" s="33" t="s">
        <v>323</v>
      </c>
      <c r="D1295" s="148">
        <f>4.44*2+4.63*2+2.03+0.87*2+0.15*2+0.72*2+1.74</f>
        <v>25.39</v>
      </c>
      <c r="E1295" s="148"/>
      <c r="F1295" s="148">
        <f t="shared" ref="F1295:F1298" si="73">2.9-0.12</f>
        <v>2.78</v>
      </c>
      <c r="G1295" s="148">
        <v>7</v>
      </c>
      <c r="H1295" s="148"/>
      <c r="I1295" s="176">
        <f>(4*0.8*2.1+2*0.6*1.2+0.8*1.6)*7</f>
        <v>66.080000000000013</v>
      </c>
      <c r="J1295" s="170">
        <f t="shared" si="64"/>
        <v>428.00939999999991</v>
      </c>
      <c r="L1295" s="10"/>
      <c r="M1295" s="10"/>
      <c r="N1295" s="10"/>
      <c r="O1295" s="10"/>
      <c r="P1295" s="10"/>
      <c r="Q1295" s="10"/>
      <c r="R1295" s="10"/>
      <c r="S1295" s="10"/>
      <c r="T1295" s="10"/>
      <c r="U1295" s="10"/>
      <c r="V1295" s="10"/>
      <c r="W1295" s="10"/>
      <c r="X1295" s="10"/>
      <c r="Y1295" s="10"/>
    </row>
    <row r="1296" spans="1:25" ht="16.5" customHeight="1" x14ac:dyDescent="0.2">
      <c r="A1296" s="413" t="s">
        <v>679</v>
      </c>
      <c r="B1296" s="414"/>
      <c r="C1296" s="33" t="s">
        <v>319</v>
      </c>
      <c r="D1296" s="148">
        <f>2.6*2+2.9*2</f>
        <v>11</v>
      </c>
      <c r="E1296" s="148"/>
      <c r="F1296" s="148">
        <f t="shared" si="73"/>
        <v>2.78</v>
      </c>
      <c r="G1296" s="148">
        <v>7</v>
      </c>
      <c r="H1296" s="148"/>
      <c r="I1296" s="176">
        <f>(1.2*1.2+0.7*2.1)*7</f>
        <v>20.37</v>
      </c>
      <c r="J1296" s="170">
        <f t="shared" si="64"/>
        <v>193.69</v>
      </c>
      <c r="L1296" s="10"/>
      <c r="M1296" s="10"/>
      <c r="N1296" s="10"/>
      <c r="O1296" s="10"/>
      <c r="P1296" s="10"/>
      <c r="Q1296" s="10"/>
      <c r="R1296" s="10"/>
      <c r="S1296" s="10"/>
      <c r="T1296" s="10"/>
      <c r="U1296" s="10"/>
      <c r="V1296" s="10"/>
      <c r="W1296" s="10"/>
      <c r="X1296" s="10"/>
      <c r="Y1296" s="10"/>
    </row>
    <row r="1297" spans="1:25" ht="16.5" customHeight="1" x14ac:dyDescent="0.2">
      <c r="A1297" s="413"/>
      <c r="B1297" s="414"/>
      <c r="C1297" s="33" t="s">
        <v>320</v>
      </c>
      <c r="D1297" s="148">
        <f>2.4*2+2.9*2</f>
        <v>10.6</v>
      </c>
      <c r="E1297" s="148"/>
      <c r="F1297" s="148">
        <f t="shared" si="73"/>
        <v>2.78</v>
      </c>
      <c r="G1297" s="148">
        <v>7</v>
      </c>
      <c r="H1297" s="148"/>
      <c r="I1297" s="176">
        <f>(1.2*1.2+0.7*2.1)*7</f>
        <v>20.37</v>
      </c>
      <c r="J1297" s="170">
        <f t="shared" si="64"/>
        <v>185.90599999999998</v>
      </c>
      <c r="L1297" s="10"/>
      <c r="M1297" s="10"/>
      <c r="N1297" s="10"/>
      <c r="O1297" s="10"/>
      <c r="P1297" s="10"/>
      <c r="Q1297" s="10"/>
      <c r="R1297" s="10"/>
      <c r="S1297" s="10"/>
      <c r="T1297" s="10"/>
      <c r="U1297" s="10"/>
      <c r="V1297" s="10"/>
      <c r="W1297" s="10"/>
      <c r="X1297" s="10"/>
      <c r="Y1297" s="10"/>
    </row>
    <row r="1298" spans="1:25" ht="16.5" customHeight="1" x14ac:dyDescent="0.2">
      <c r="A1298" s="413"/>
      <c r="B1298" s="414"/>
      <c r="C1298" s="33" t="s">
        <v>321</v>
      </c>
      <c r="D1298" s="148">
        <f>(2.4+5.23+2.4+2.03+1.05+1.2+1.05)</f>
        <v>15.360000000000001</v>
      </c>
      <c r="E1298" s="148"/>
      <c r="F1298" s="148">
        <f t="shared" si="73"/>
        <v>2.78</v>
      </c>
      <c r="G1298" s="148">
        <v>7</v>
      </c>
      <c r="H1298" s="148"/>
      <c r="I1298" s="176">
        <f>(1.8*1.2+3*0.7*2.1+0.8*2.1)*7</f>
        <v>57.75</v>
      </c>
      <c r="J1298" s="170">
        <f t="shared" si="64"/>
        <v>241.15559999999999</v>
      </c>
      <c r="L1298" s="10"/>
      <c r="M1298" s="10"/>
      <c r="N1298" s="10"/>
      <c r="O1298" s="10"/>
      <c r="P1298" s="10"/>
      <c r="Q1298" s="10"/>
      <c r="R1298" s="10"/>
      <c r="S1298" s="10"/>
      <c r="T1298" s="10"/>
      <c r="U1298" s="10"/>
      <c r="V1298" s="10"/>
      <c r="W1298" s="10"/>
      <c r="X1298" s="10"/>
      <c r="Y1298" s="10"/>
    </row>
    <row r="1299" spans="1:25" ht="16.5" customHeight="1" x14ac:dyDescent="0.2">
      <c r="A1299" s="411"/>
      <c r="B1299" s="415"/>
      <c r="C1299" s="33" t="s">
        <v>322</v>
      </c>
      <c r="D1299" s="148"/>
      <c r="E1299" s="148"/>
      <c r="F1299" s="148"/>
      <c r="G1299" s="148">
        <v>7</v>
      </c>
      <c r="H1299" s="148">
        <v>39.57</v>
      </c>
      <c r="I1299" s="176"/>
      <c r="J1299" s="170">
        <f t="shared" si="64"/>
        <v>276.99</v>
      </c>
      <c r="L1299" s="10"/>
      <c r="M1299" s="10"/>
      <c r="N1299" s="10"/>
      <c r="O1299" s="10"/>
      <c r="P1299" s="10"/>
      <c r="Q1299" s="10"/>
      <c r="R1299" s="10"/>
      <c r="S1299" s="10"/>
      <c r="T1299" s="10"/>
      <c r="U1299" s="10"/>
      <c r="V1299" s="10"/>
      <c r="W1299" s="10"/>
      <c r="X1299" s="10"/>
      <c r="Y1299" s="10"/>
    </row>
    <row r="1300" spans="1:25" ht="16.5" customHeight="1" x14ac:dyDescent="0.2">
      <c r="A1300" s="413" t="s">
        <v>769</v>
      </c>
      <c r="B1300" s="414"/>
      <c r="C1300" s="33" t="s">
        <v>319</v>
      </c>
      <c r="D1300" s="148">
        <f>2.6*2+2.9*2</f>
        <v>11</v>
      </c>
      <c r="E1300" s="148"/>
      <c r="F1300" s="148">
        <f t="shared" ref="F1300:F1302" si="74">2.9-0.12</f>
        <v>2.78</v>
      </c>
      <c r="G1300" s="148">
        <v>7</v>
      </c>
      <c r="H1300" s="148"/>
      <c r="I1300" s="176">
        <f>(1.2*1.2+0.7*2.1)*7</f>
        <v>20.37</v>
      </c>
      <c r="J1300" s="170">
        <f t="shared" si="64"/>
        <v>193.69</v>
      </c>
      <c r="L1300" s="10"/>
      <c r="M1300" s="10"/>
      <c r="N1300" s="10"/>
      <c r="O1300" s="10"/>
      <c r="P1300" s="10"/>
      <c r="Q1300" s="10"/>
      <c r="R1300" s="10"/>
      <c r="S1300" s="10"/>
      <c r="T1300" s="10"/>
      <c r="U1300" s="10"/>
      <c r="V1300" s="10"/>
      <c r="W1300" s="10"/>
      <c r="X1300" s="10"/>
      <c r="Y1300" s="10"/>
    </row>
    <row r="1301" spans="1:25" ht="16.5" customHeight="1" x14ac:dyDescent="0.2">
      <c r="A1301" s="413"/>
      <c r="B1301" s="414"/>
      <c r="C1301" s="33" t="s">
        <v>320</v>
      </c>
      <c r="D1301" s="148">
        <f>2.4*2+2.9*2</f>
        <v>10.6</v>
      </c>
      <c r="E1301" s="148"/>
      <c r="F1301" s="148">
        <f t="shared" si="74"/>
        <v>2.78</v>
      </c>
      <c r="G1301" s="148">
        <v>7</v>
      </c>
      <c r="H1301" s="148"/>
      <c r="I1301" s="176">
        <f>(1.2*1.2+0.7*2.1)*7</f>
        <v>20.37</v>
      </c>
      <c r="J1301" s="170">
        <f t="shared" si="64"/>
        <v>185.90599999999998</v>
      </c>
      <c r="L1301" s="10"/>
      <c r="M1301" s="10"/>
      <c r="N1301" s="10"/>
      <c r="O1301" s="10"/>
      <c r="P1301" s="10"/>
      <c r="Q1301" s="10"/>
      <c r="R1301" s="10"/>
      <c r="S1301" s="10"/>
      <c r="T1301" s="10"/>
      <c r="U1301" s="10"/>
      <c r="V1301" s="10"/>
      <c r="W1301" s="10"/>
      <c r="X1301" s="10"/>
      <c r="Y1301" s="10"/>
    </row>
    <row r="1302" spans="1:25" ht="16.5" customHeight="1" x14ac:dyDescent="0.2">
      <c r="A1302" s="413"/>
      <c r="B1302" s="414"/>
      <c r="C1302" s="33" t="s">
        <v>321</v>
      </c>
      <c r="D1302" s="148">
        <f>(2.4+5.23+2.4+2.03+1.05+1.2+1.05)</f>
        <v>15.360000000000001</v>
      </c>
      <c r="E1302" s="148"/>
      <c r="F1302" s="148">
        <f t="shared" si="74"/>
        <v>2.78</v>
      </c>
      <c r="G1302" s="148">
        <v>7</v>
      </c>
      <c r="H1302" s="148"/>
      <c r="I1302" s="176">
        <f>(1.8*1.2+3*0.7*2.1+0.8*2.1)*7</f>
        <v>57.75</v>
      </c>
      <c r="J1302" s="170">
        <f t="shared" si="64"/>
        <v>241.15559999999999</v>
      </c>
      <c r="L1302" s="10"/>
      <c r="M1302" s="10"/>
      <c r="N1302" s="10"/>
      <c r="O1302" s="10"/>
      <c r="P1302" s="10"/>
      <c r="Q1302" s="10"/>
      <c r="R1302" s="10"/>
      <c r="S1302" s="10"/>
      <c r="T1302" s="10"/>
      <c r="U1302" s="10"/>
      <c r="V1302" s="10"/>
      <c r="W1302" s="10"/>
      <c r="X1302" s="10"/>
      <c r="Y1302" s="10"/>
    </row>
    <row r="1303" spans="1:25" ht="16.5" customHeight="1" x14ac:dyDescent="0.2">
      <c r="A1303" s="411"/>
      <c r="B1303" s="415"/>
      <c r="C1303" s="33" t="s">
        <v>322</v>
      </c>
      <c r="D1303" s="148"/>
      <c r="E1303" s="148"/>
      <c r="F1303" s="148"/>
      <c r="G1303" s="148">
        <v>7</v>
      </c>
      <c r="H1303" s="148">
        <v>39.57</v>
      </c>
      <c r="I1303" s="176"/>
      <c r="J1303" s="170">
        <f t="shared" si="64"/>
        <v>276.99</v>
      </c>
      <c r="L1303" s="10"/>
      <c r="M1303" s="10"/>
      <c r="N1303" s="10"/>
      <c r="O1303" s="10"/>
      <c r="P1303" s="10"/>
      <c r="Q1303" s="10"/>
      <c r="R1303" s="10"/>
      <c r="S1303" s="10"/>
      <c r="T1303" s="10"/>
      <c r="U1303" s="10"/>
      <c r="V1303" s="10"/>
      <c r="W1303" s="10"/>
      <c r="X1303" s="10"/>
      <c r="Y1303" s="10"/>
    </row>
    <row r="1304" spans="1:25" ht="16.5" customHeight="1" x14ac:dyDescent="0.2">
      <c r="A1304" s="413" t="s">
        <v>681</v>
      </c>
      <c r="B1304" s="414"/>
      <c r="C1304" s="33" t="s">
        <v>319</v>
      </c>
      <c r="D1304" s="148">
        <f>2.6*2+2.9*2</f>
        <v>11</v>
      </c>
      <c r="E1304" s="148"/>
      <c r="F1304" s="148">
        <f t="shared" ref="F1304:F1306" si="75">2.9-0.12</f>
        <v>2.78</v>
      </c>
      <c r="G1304" s="148">
        <v>7</v>
      </c>
      <c r="H1304" s="148"/>
      <c r="I1304" s="176">
        <f>(1.2*1.2+0.7*2.1)*7</f>
        <v>20.37</v>
      </c>
      <c r="J1304" s="170">
        <f t="shared" si="64"/>
        <v>193.69</v>
      </c>
      <c r="L1304" s="10"/>
      <c r="M1304" s="10"/>
      <c r="N1304" s="10"/>
      <c r="O1304" s="10"/>
      <c r="P1304" s="10"/>
      <c r="Q1304" s="10"/>
      <c r="R1304" s="10"/>
      <c r="S1304" s="10"/>
      <c r="T1304" s="10"/>
      <c r="U1304" s="10"/>
      <c r="V1304" s="10"/>
      <c r="W1304" s="10"/>
      <c r="X1304" s="10"/>
      <c r="Y1304" s="10"/>
    </row>
    <row r="1305" spans="1:25" ht="16.5" customHeight="1" x14ac:dyDescent="0.2">
      <c r="A1305" s="413"/>
      <c r="B1305" s="414"/>
      <c r="C1305" s="33" t="s">
        <v>320</v>
      </c>
      <c r="D1305" s="148">
        <f>2.4*2+2.9*2</f>
        <v>10.6</v>
      </c>
      <c r="E1305" s="148"/>
      <c r="F1305" s="148">
        <f t="shared" si="75"/>
        <v>2.78</v>
      </c>
      <c r="G1305" s="148">
        <v>7</v>
      </c>
      <c r="H1305" s="148"/>
      <c r="I1305" s="176">
        <f>(1.2*1.2+0.7*2.1)*7</f>
        <v>20.37</v>
      </c>
      <c r="J1305" s="170">
        <f t="shared" si="64"/>
        <v>185.90599999999998</v>
      </c>
      <c r="L1305" s="10"/>
      <c r="M1305" s="10"/>
      <c r="N1305" s="10"/>
      <c r="O1305" s="10"/>
      <c r="P1305" s="10"/>
      <c r="Q1305" s="10"/>
      <c r="R1305" s="10"/>
      <c r="S1305" s="10"/>
      <c r="T1305" s="10"/>
      <c r="U1305" s="10"/>
      <c r="V1305" s="10"/>
      <c r="W1305" s="10"/>
      <c r="X1305" s="10"/>
      <c r="Y1305" s="10"/>
    </row>
    <row r="1306" spans="1:25" ht="16.5" customHeight="1" x14ac:dyDescent="0.2">
      <c r="A1306" s="413"/>
      <c r="B1306" s="414"/>
      <c r="C1306" s="33" t="s">
        <v>321</v>
      </c>
      <c r="D1306" s="148">
        <f>(2.4+5.23+2.4+2.03+1.05+1.2+1.05)</f>
        <v>15.360000000000001</v>
      </c>
      <c r="E1306" s="148"/>
      <c r="F1306" s="148">
        <f t="shared" si="75"/>
        <v>2.78</v>
      </c>
      <c r="G1306" s="148">
        <v>7</v>
      </c>
      <c r="H1306" s="148"/>
      <c r="I1306" s="176">
        <f>(1.8*1.2+3*0.7*2.1+0.8*2.1)*7</f>
        <v>57.75</v>
      </c>
      <c r="J1306" s="170">
        <f t="shared" si="64"/>
        <v>241.15559999999999</v>
      </c>
      <c r="L1306" s="10"/>
      <c r="M1306" s="10"/>
      <c r="N1306" s="10"/>
      <c r="O1306" s="10"/>
      <c r="P1306" s="10"/>
      <c r="Q1306" s="10"/>
      <c r="R1306" s="10"/>
      <c r="S1306" s="10"/>
      <c r="T1306" s="10"/>
      <c r="U1306" s="10"/>
      <c r="V1306" s="10"/>
      <c r="W1306" s="10"/>
      <c r="X1306" s="10"/>
      <c r="Y1306" s="10"/>
    </row>
    <row r="1307" spans="1:25" ht="16.5" customHeight="1" x14ac:dyDescent="0.2">
      <c r="A1307" s="411"/>
      <c r="B1307" s="415"/>
      <c r="C1307" s="33" t="s">
        <v>322</v>
      </c>
      <c r="D1307" s="148"/>
      <c r="E1307" s="148"/>
      <c r="F1307" s="148"/>
      <c r="G1307" s="148">
        <v>7</v>
      </c>
      <c r="H1307" s="148">
        <v>39.57</v>
      </c>
      <c r="I1307" s="176"/>
      <c r="J1307" s="170">
        <f t="shared" si="64"/>
        <v>276.99</v>
      </c>
      <c r="L1307" s="10"/>
      <c r="M1307" s="10"/>
      <c r="N1307" s="10"/>
      <c r="O1307" s="10"/>
      <c r="P1307" s="10"/>
      <c r="Q1307" s="10"/>
      <c r="R1307" s="10"/>
      <c r="S1307" s="10"/>
      <c r="T1307" s="10"/>
      <c r="U1307" s="10"/>
      <c r="V1307" s="10"/>
      <c r="W1307" s="10"/>
      <c r="X1307" s="10"/>
      <c r="Y1307" s="10"/>
    </row>
    <row r="1308" spans="1:25" ht="16.5" customHeight="1" x14ac:dyDescent="0.2">
      <c r="A1308" s="413" t="s">
        <v>682</v>
      </c>
      <c r="B1308" s="414"/>
      <c r="C1308" s="33" t="s">
        <v>319</v>
      </c>
      <c r="D1308" s="148">
        <f>2.6*2+2.9*2</f>
        <v>11</v>
      </c>
      <c r="E1308" s="148"/>
      <c r="F1308" s="148">
        <f t="shared" ref="F1308:F1310" si="76">2.9-0.12</f>
        <v>2.78</v>
      </c>
      <c r="G1308" s="148">
        <v>7</v>
      </c>
      <c r="H1308" s="148"/>
      <c r="I1308" s="176">
        <f>(1.2*1.2+0.7*2.1)*7</f>
        <v>20.37</v>
      </c>
      <c r="J1308" s="170">
        <f t="shared" si="64"/>
        <v>193.69</v>
      </c>
      <c r="L1308" s="10"/>
      <c r="M1308" s="10"/>
      <c r="N1308" s="10"/>
      <c r="O1308" s="10"/>
      <c r="P1308" s="10"/>
      <c r="Q1308" s="10"/>
      <c r="R1308" s="10"/>
      <c r="S1308" s="10"/>
      <c r="T1308" s="10"/>
      <c r="U1308" s="10"/>
      <c r="V1308" s="10"/>
      <c r="W1308" s="10"/>
      <c r="X1308" s="10"/>
      <c r="Y1308" s="10"/>
    </row>
    <row r="1309" spans="1:25" ht="16.5" customHeight="1" x14ac:dyDescent="0.2">
      <c r="A1309" s="413"/>
      <c r="B1309" s="414"/>
      <c r="C1309" s="33" t="s">
        <v>320</v>
      </c>
      <c r="D1309" s="148">
        <f>2.4*2+2.9*2</f>
        <v>10.6</v>
      </c>
      <c r="E1309" s="148"/>
      <c r="F1309" s="148">
        <f t="shared" si="76"/>
        <v>2.78</v>
      </c>
      <c r="G1309" s="148">
        <v>7</v>
      </c>
      <c r="H1309" s="148"/>
      <c r="I1309" s="176">
        <f>(1.2*1.2+0.7*2.1)*7</f>
        <v>20.37</v>
      </c>
      <c r="J1309" s="170">
        <f t="shared" si="64"/>
        <v>185.90599999999998</v>
      </c>
      <c r="L1309" s="10"/>
      <c r="M1309" s="10"/>
      <c r="N1309" s="10"/>
      <c r="O1309" s="10"/>
      <c r="P1309" s="10"/>
      <c r="Q1309" s="10"/>
      <c r="R1309" s="10"/>
      <c r="S1309" s="10"/>
      <c r="T1309" s="10"/>
      <c r="U1309" s="10"/>
      <c r="V1309" s="10"/>
      <c r="W1309" s="10"/>
      <c r="X1309" s="10"/>
      <c r="Y1309" s="10"/>
    </row>
    <row r="1310" spans="1:25" ht="16.5" customHeight="1" x14ac:dyDescent="0.2">
      <c r="A1310" s="413"/>
      <c r="B1310" s="414"/>
      <c r="C1310" s="33" t="s">
        <v>321</v>
      </c>
      <c r="D1310" s="148">
        <f>(2.4+5.23+2.4+2.03+1.05+1.2+1.05)</f>
        <v>15.360000000000001</v>
      </c>
      <c r="E1310" s="148"/>
      <c r="F1310" s="148">
        <f t="shared" si="76"/>
        <v>2.78</v>
      </c>
      <c r="G1310" s="148">
        <v>7</v>
      </c>
      <c r="H1310" s="148"/>
      <c r="I1310" s="176">
        <f>(1.8*1.2+3*0.7*2.1+0.8*2.1)*7</f>
        <v>57.75</v>
      </c>
      <c r="J1310" s="170">
        <f t="shared" si="64"/>
        <v>241.15559999999999</v>
      </c>
      <c r="L1310" s="10"/>
      <c r="M1310" s="10"/>
      <c r="N1310" s="10"/>
      <c r="O1310" s="10"/>
      <c r="P1310" s="10"/>
      <c r="Q1310" s="10"/>
      <c r="R1310" s="10"/>
      <c r="S1310" s="10"/>
      <c r="T1310" s="10"/>
      <c r="U1310" s="10"/>
      <c r="V1310" s="10"/>
      <c r="W1310" s="10"/>
      <c r="X1310" s="10"/>
      <c r="Y1310" s="10"/>
    </row>
    <row r="1311" spans="1:25" ht="16.5" customHeight="1" x14ac:dyDescent="0.2">
      <c r="A1311" s="411"/>
      <c r="B1311" s="415"/>
      <c r="C1311" s="33" t="s">
        <v>322</v>
      </c>
      <c r="D1311" s="148"/>
      <c r="E1311" s="148"/>
      <c r="F1311" s="148"/>
      <c r="G1311" s="148">
        <v>7</v>
      </c>
      <c r="H1311" s="148">
        <v>39.57</v>
      </c>
      <c r="I1311" s="176"/>
      <c r="J1311" s="170">
        <f t="shared" si="64"/>
        <v>276.99</v>
      </c>
      <c r="L1311" s="10"/>
      <c r="M1311" s="10"/>
      <c r="N1311" s="10"/>
      <c r="O1311" s="10"/>
      <c r="P1311" s="10"/>
      <c r="Q1311" s="10"/>
      <c r="R1311" s="10"/>
      <c r="S1311" s="10"/>
      <c r="T1311" s="10"/>
      <c r="U1311" s="10"/>
      <c r="V1311" s="10"/>
      <c r="W1311" s="10"/>
      <c r="X1311" s="10"/>
      <c r="Y1311" s="10"/>
    </row>
    <row r="1312" spans="1:25" ht="16.5" customHeight="1" x14ac:dyDescent="0.2">
      <c r="A1312" s="409" t="s">
        <v>786</v>
      </c>
      <c r="B1312" s="410"/>
      <c r="C1312" s="33" t="s">
        <v>322</v>
      </c>
      <c r="D1312" s="148"/>
      <c r="E1312" s="148"/>
      <c r="F1312" s="148"/>
      <c r="G1312" s="148">
        <v>7</v>
      </c>
      <c r="H1312" s="148">
        <f>ROUND(4.44*4.63,2)</f>
        <v>20.56</v>
      </c>
      <c r="I1312" s="175"/>
      <c r="J1312" s="170">
        <f t="shared" si="64"/>
        <v>143.91999999999999</v>
      </c>
      <c r="L1312" s="10"/>
      <c r="M1312" s="10"/>
      <c r="N1312" s="10"/>
      <c r="O1312" s="10"/>
      <c r="P1312" s="10"/>
      <c r="Q1312" s="10"/>
      <c r="R1312" s="10"/>
      <c r="S1312" s="10"/>
      <c r="T1312" s="10"/>
      <c r="U1312" s="10"/>
      <c r="V1312" s="10"/>
      <c r="W1312" s="10"/>
      <c r="X1312" s="10"/>
      <c r="Y1312" s="10"/>
    </row>
    <row r="1313" spans="1:25" ht="16.5" customHeight="1" x14ac:dyDescent="0.2">
      <c r="A1313" s="411"/>
      <c r="B1313" s="412"/>
      <c r="C1313" s="33" t="s">
        <v>323</v>
      </c>
      <c r="D1313" s="148">
        <f>4.44*2+4.63*2+2.03+0.87*2+0.15*2+0.72*2+1.74</f>
        <v>25.39</v>
      </c>
      <c r="E1313" s="148"/>
      <c r="F1313" s="148">
        <f t="shared" ref="F1313:F1316" si="77">2.9-0.12</f>
        <v>2.78</v>
      </c>
      <c r="G1313" s="148">
        <v>7</v>
      </c>
      <c r="H1313" s="148"/>
      <c r="I1313" s="176">
        <f>(4*0.8*2.1+2*0.6*1.2+0.8*1.6)*7</f>
        <v>66.080000000000013</v>
      </c>
      <c r="J1313" s="170">
        <f t="shared" si="64"/>
        <v>428.00939999999991</v>
      </c>
      <c r="L1313" s="10"/>
      <c r="M1313" s="10"/>
      <c r="N1313" s="10"/>
      <c r="O1313" s="10"/>
      <c r="P1313" s="10"/>
      <c r="Q1313" s="10"/>
      <c r="R1313" s="10"/>
      <c r="S1313" s="10"/>
      <c r="T1313" s="10"/>
      <c r="U1313" s="10"/>
      <c r="V1313" s="10"/>
      <c r="W1313" s="10"/>
      <c r="X1313" s="10"/>
      <c r="Y1313" s="10"/>
    </row>
    <row r="1314" spans="1:25" ht="16.5" customHeight="1" x14ac:dyDescent="0.2">
      <c r="A1314" s="413" t="s">
        <v>683</v>
      </c>
      <c r="B1314" s="414"/>
      <c r="C1314" s="33" t="s">
        <v>319</v>
      </c>
      <c r="D1314" s="148">
        <f>2.6*2+2.9*2</f>
        <v>11</v>
      </c>
      <c r="E1314" s="148"/>
      <c r="F1314" s="148">
        <f t="shared" si="77"/>
        <v>2.78</v>
      </c>
      <c r="G1314" s="148">
        <v>7</v>
      </c>
      <c r="H1314" s="148"/>
      <c r="I1314" s="176">
        <f>(1.2*1.2+0.7*2.1)*7</f>
        <v>20.37</v>
      </c>
      <c r="J1314" s="170">
        <f t="shared" si="64"/>
        <v>193.69</v>
      </c>
      <c r="L1314" s="10"/>
      <c r="M1314" s="10"/>
      <c r="N1314" s="10"/>
      <c r="O1314" s="10"/>
      <c r="P1314" s="10"/>
      <c r="Q1314" s="10"/>
      <c r="R1314" s="10"/>
      <c r="S1314" s="10"/>
      <c r="T1314" s="10"/>
      <c r="U1314" s="10"/>
      <c r="V1314" s="10"/>
      <c r="W1314" s="10"/>
      <c r="X1314" s="10"/>
      <c r="Y1314" s="10"/>
    </row>
    <row r="1315" spans="1:25" ht="16.5" customHeight="1" x14ac:dyDescent="0.2">
      <c r="A1315" s="413"/>
      <c r="B1315" s="414"/>
      <c r="C1315" s="33" t="s">
        <v>320</v>
      </c>
      <c r="D1315" s="148">
        <f>2.4*2+2.9*2</f>
        <v>10.6</v>
      </c>
      <c r="E1315" s="148"/>
      <c r="F1315" s="148">
        <f t="shared" si="77"/>
        <v>2.78</v>
      </c>
      <c r="G1315" s="148">
        <v>7</v>
      </c>
      <c r="H1315" s="148"/>
      <c r="I1315" s="176">
        <f>(1.2*1.2+0.7*2.1)*7</f>
        <v>20.37</v>
      </c>
      <c r="J1315" s="170">
        <f t="shared" si="64"/>
        <v>185.90599999999998</v>
      </c>
      <c r="L1315" s="10"/>
      <c r="M1315" s="10"/>
      <c r="N1315" s="10"/>
      <c r="O1315" s="10"/>
      <c r="P1315" s="10"/>
      <c r="Q1315" s="10"/>
      <c r="R1315" s="10"/>
      <c r="S1315" s="10"/>
      <c r="T1315" s="10"/>
      <c r="U1315" s="10"/>
      <c r="V1315" s="10"/>
      <c r="W1315" s="10"/>
      <c r="X1315" s="10"/>
      <c r="Y1315" s="10"/>
    </row>
    <row r="1316" spans="1:25" ht="16.5" customHeight="1" x14ac:dyDescent="0.2">
      <c r="A1316" s="413"/>
      <c r="B1316" s="414"/>
      <c r="C1316" s="33" t="s">
        <v>321</v>
      </c>
      <c r="D1316" s="148">
        <f>(2.4+5.23+2.4+2.03+1.05+1.2+1.05)</f>
        <v>15.360000000000001</v>
      </c>
      <c r="E1316" s="148"/>
      <c r="F1316" s="148">
        <f t="shared" si="77"/>
        <v>2.78</v>
      </c>
      <c r="G1316" s="148">
        <v>7</v>
      </c>
      <c r="H1316" s="148"/>
      <c r="I1316" s="176">
        <f>(1.8*1.2+3*0.7*2.1+0.8*2.1)*7</f>
        <v>57.75</v>
      </c>
      <c r="J1316" s="170">
        <f t="shared" si="64"/>
        <v>241.15559999999999</v>
      </c>
      <c r="L1316" s="10"/>
      <c r="M1316" s="10"/>
      <c r="N1316" s="10"/>
      <c r="O1316" s="10"/>
      <c r="P1316" s="10"/>
      <c r="Q1316" s="10"/>
      <c r="R1316" s="10"/>
      <c r="S1316" s="10"/>
      <c r="T1316" s="10"/>
      <c r="U1316" s="10"/>
      <c r="V1316" s="10"/>
      <c r="W1316" s="10"/>
      <c r="X1316" s="10"/>
      <c r="Y1316" s="10"/>
    </row>
    <row r="1317" spans="1:25" ht="16.5" customHeight="1" x14ac:dyDescent="0.2">
      <c r="A1317" s="411"/>
      <c r="B1317" s="415"/>
      <c r="C1317" s="33" t="s">
        <v>322</v>
      </c>
      <c r="D1317" s="148"/>
      <c r="E1317" s="148"/>
      <c r="F1317" s="148"/>
      <c r="G1317" s="148">
        <v>7</v>
      </c>
      <c r="H1317" s="148">
        <v>39.57</v>
      </c>
      <c r="I1317" s="176"/>
      <c r="J1317" s="170">
        <f t="shared" si="64"/>
        <v>276.99</v>
      </c>
      <c r="L1317" s="10"/>
      <c r="M1317" s="10"/>
      <c r="N1317" s="10"/>
      <c r="O1317" s="10"/>
      <c r="P1317" s="10"/>
      <c r="Q1317" s="10"/>
      <c r="R1317" s="10"/>
      <c r="S1317" s="10"/>
      <c r="T1317" s="10"/>
      <c r="U1317" s="10"/>
      <c r="V1317" s="10"/>
      <c r="W1317" s="10"/>
      <c r="X1317" s="10"/>
      <c r="Y1317" s="10"/>
    </row>
    <row r="1318" spans="1:25" ht="16.5" customHeight="1" x14ac:dyDescent="0.2">
      <c r="A1318" s="413" t="s">
        <v>684</v>
      </c>
      <c r="B1318" s="414"/>
      <c r="C1318" s="33" t="s">
        <v>319</v>
      </c>
      <c r="D1318" s="148">
        <f>2.6*2+2.9*2</f>
        <v>11</v>
      </c>
      <c r="E1318" s="148"/>
      <c r="F1318" s="148">
        <f t="shared" ref="F1318:F1320" si="78">2.9-0.12</f>
        <v>2.78</v>
      </c>
      <c r="G1318" s="148">
        <v>7</v>
      </c>
      <c r="H1318" s="148"/>
      <c r="I1318" s="176">
        <f>(1.2*1.2+0.7*2.1)*7</f>
        <v>20.37</v>
      </c>
      <c r="J1318" s="170">
        <f t="shared" si="64"/>
        <v>193.69</v>
      </c>
      <c r="L1318" s="10"/>
      <c r="M1318" s="10"/>
      <c r="N1318" s="10"/>
      <c r="O1318" s="10"/>
      <c r="P1318" s="10"/>
      <c r="Q1318" s="10"/>
      <c r="R1318" s="10"/>
      <c r="S1318" s="10"/>
      <c r="T1318" s="10"/>
      <c r="U1318" s="10"/>
      <c r="V1318" s="10"/>
      <c r="W1318" s="10"/>
      <c r="X1318" s="10"/>
      <c r="Y1318" s="10"/>
    </row>
    <row r="1319" spans="1:25" ht="16.5" customHeight="1" x14ac:dyDescent="0.2">
      <c r="A1319" s="413"/>
      <c r="B1319" s="414"/>
      <c r="C1319" s="33" t="s">
        <v>320</v>
      </c>
      <c r="D1319" s="148">
        <f>2.4*2+2.9*2</f>
        <v>10.6</v>
      </c>
      <c r="E1319" s="148"/>
      <c r="F1319" s="148">
        <f t="shared" si="78"/>
        <v>2.78</v>
      </c>
      <c r="G1319" s="148">
        <v>7</v>
      </c>
      <c r="H1319" s="148"/>
      <c r="I1319" s="176">
        <f>(1.2*1.2+0.7*2.1)*7</f>
        <v>20.37</v>
      </c>
      <c r="J1319" s="170">
        <f t="shared" si="64"/>
        <v>185.90599999999998</v>
      </c>
      <c r="L1319" s="10"/>
      <c r="M1319" s="10"/>
      <c r="N1319" s="10"/>
      <c r="O1319" s="10"/>
      <c r="P1319" s="10"/>
      <c r="Q1319" s="10"/>
      <c r="R1319" s="10"/>
      <c r="S1319" s="10"/>
      <c r="T1319" s="10"/>
      <c r="U1319" s="10"/>
      <c r="V1319" s="10"/>
      <c r="W1319" s="10"/>
      <c r="X1319" s="10"/>
      <c r="Y1319" s="10"/>
    </row>
    <row r="1320" spans="1:25" ht="16.5" customHeight="1" x14ac:dyDescent="0.2">
      <c r="A1320" s="413"/>
      <c r="B1320" s="414"/>
      <c r="C1320" s="33" t="s">
        <v>321</v>
      </c>
      <c r="D1320" s="148">
        <f>(2.4+5.23+2.4+2.03+1.05+1.2+1.05)</f>
        <v>15.360000000000001</v>
      </c>
      <c r="E1320" s="148"/>
      <c r="F1320" s="148">
        <f t="shared" si="78"/>
        <v>2.78</v>
      </c>
      <c r="G1320" s="148">
        <v>7</v>
      </c>
      <c r="H1320" s="148"/>
      <c r="I1320" s="176">
        <f>(1.8*1.2+3*0.7*2.1+0.8*2.1)*7</f>
        <v>57.75</v>
      </c>
      <c r="J1320" s="170">
        <f t="shared" si="64"/>
        <v>241.15559999999999</v>
      </c>
      <c r="L1320" s="10"/>
      <c r="M1320" s="10"/>
      <c r="N1320" s="10"/>
      <c r="O1320" s="10"/>
      <c r="P1320" s="10"/>
      <c r="Q1320" s="10"/>
      <c r="R1320" s="10"/>
      <c r="S1320" s="10"/>
      <c r="T1320" s="10"/>
      <c r="U1320" s="10"/>
      <c r="V1320" s="10"/>
      <c r="W1320" s="10"/>
      <c r="X1320" s="10"/>
      <c r="Y1320" s="10"/>
    </row>
    <row r="1321" spans="1:25" ht="16.5" customHeight="1" x14ac:dyDescent="0.2">
      <c r="A1321" s="411"/>
      <c r="B1321" s="415"/>
      <c r="C1321" s="33" t="s">
        <v>322</v>
      </c>
      <c r="D1321" s="148"/>
      <c r="E1321" s="148"/>
      <c r="F1321" s="148"/>
      <c r="G1321" s="148">
        <v>7</v>
      </c>
      <c r="H1321" s="148">
        <v>39.57</v>
      </c>
      <c r="I1321" s="176"/>
      <c r="J1321" s="170">
        <f t="shared" si="64"/>
        <v>276.99</v>
      </c>
      <c r="L1321" s="10"/>
      <c r="M1321" s="10"/>
      <c r="N1321" s="10"/>
      <c r="O1321" s="10"/>
      <c r="P1321" s="10"/>
      <c r="Q1321" s="10"/>
      <c r="R1321" s="10"/>
      <c r="S1321" s="10"/>
      <c r="T1321" s="10"/>
      <c r="U1321" s="10"/>
      <c r="V1321" s="10"/>
      <c r="W1321" s="10"/>
      <c r="X1321" s="10"/>
      <c r="Y1321" s="10"/>
    </row>
    <row r="1322" spans="1:25" ht="16.5" customHeight="1" x14ac:dyDescent="0.2">
      <c r="A1322" s="413" t="s">
        <v>685</v>
      </c>
      <c r="B1322" s="414"/>
      <c r="C1322" s="33" t="s">
        <v>319</v>
      </c>
      <c r="D1322" s="148">
        <f>2.6*2+2.9*2</f>
        <v>11</v>
      </c>
      <c r="E1322" s="148"/>
      <c r="F1322" s="148">
        <f t="shared" ref="F1322:F1324" si="79">2.9-0.12</f>
        <v>2.78</v>
      </c>
      <c r="G1322" s="148">
        <v>7</v>
      </c>
      <c r="H1322" s="148"/>
      <c r="I1322" s="176">
        <f>(1.2*1.2+0.7*2.1)*7</f>
        <v>20.37</v>
      </c>
      <c r="J1322" s="170">
        <f t="shared" si="64"/>
        <v>193.69</v>
      </c>
      <c r="L1322" s="10"/>
      <c r="M1322" s="10"/>
      <c r="N1322" s="10"/>
      <c r="O1322" s="10"/>
      <c r="P1322" s="10"/>
      <c r="Q1322" s="10"/>
      <c r="R1322" s="10"/>
      <c r="S1322" s="10"/>
      <c r="T1322" s="10"/>
      <c r="U1322" s="10"/>
      <c r="V1322" s="10"/>
      <c r="W1322" s="10"/>
      <c r="X1322" s="10"/>
      <c r="Y1322" s="10"/>
    </row>
    <row r="1323" spans="1:25" ht="16.5" customHeight="1" x14ac:dyDescent="0.2">
      <c r="A1323" s="413"/>
      <c r="B1323" s="414"/>
      <c r="C1323" s="33" t="s">
        <v>320</v>
      </c>
      <c r="D1323" s="148">
        <f>2.4*2+2.9*2</f>
        <v>10.6</v>
      </c>
      <c r="E1323" s="148"/>
      <c r="F1323" s="148">
        <f t="shared" si="79"/>
        <v>2.78</v>
      </c>
      <c r="G1323" s="148">
        <v>7</v>
      </c>
      <c r="H1323" s="148"/>
      <c r="I1323" s="176">
        <f>(1.2*1.2+0.7*2.1)*7</f>
        <v>20.37</v>
      </c>
      <c r="J1323" s="170">
        <f t="shared" si="64"/>
        <v>185.90599999999998</v>
      </c>
      <c r="L1323" s="10"/>
      <c r="M1323" s="10"/>
      <c r="N1323" s="10"/>
      <c r="O1323" s="10"/>
      <c r="P1323" s="10"/>
      <c r="Q1323" s="10"/>
      <c r="R1323" s="10"/>
      <c r="S1323" s="10"/>
      <c r="T1323" s="10"/>
      <c r="U1323" s="10"/>
      <c r="V1323" s="10"/>
      <c r="W1323" s="10"/>
      <c r="X1323" s="10"/>
      <c r="Y1323" s="10"/>
    </row>
    <row r="1324" spans="1:25" ht="16.5" customHeight="1" x14ac:dyDescent="0.2">
      <c r="A1324" s="413"/>
      <c r="B1324" s="414"/>
      <c r="C1324" s="33" t="s">
        <v>321</v>
      </c>
      <c r="D1324" s="148">
        <f>(2.4+5.23+2.4+2.03+1.05+1.2+1.05)</f>
        <v>15.360000000000001</v>
      </c>
      <c r="E1324" s="148"/>
      <c r="F1324" s="148">
        <f t="shared" si="79"/>
        <v>2.78</v>
      </c>
      <c r="G1324" s="148">
        <v>7</v>
      </c>
      <c r="H1324" s="148"/>
      <c r="I1324" s="176">
        <f>(1.8*1.2+3*0.7*2.1+0.8*2.1)*7</f>
        <v>57.75</v>
      </c>
      <c r="J1324" s="170">
        <f t="shared" ref="J1324:J1337" si="80">PRODUCT(D1324:H1324)-I1324</f>
        <v>241.15559999999999</v>
      </c>
      <c r="L1324" s="10"/>
      <c r="M1324" s="10"/>
      <c r="N1324" s="10"/>
      <c r="O1324" s="10"/>
      <c r="P1324" s="10"/>
      <c r="Q1324" s="10"/>
      <c r="R1324" s="10"/>
      <c r="S1324" s="10"/>
      <c r="T1324" s="10"/>
      <c r="U1324" s="10"/>
      <c r="V1324" s="10"/>
      <c r="W1324" s="10"/>
      <c r="X1324" s="10"/>
      <c r="Y1324" s="10"/>
    </row>
    <row r="1325" spans="1:25" ht="16.5" customHeight="1" x14ac:dyDescent="0.2">
      <c r="A1325" s="411"/>
      <c r="B1325" s="415"/>
      <c r="C1325" s="33" t="s">
        <v>322</v>
      </c>
      <c r="D1325" s="148"/>
      <c r="E1325" s="148"/>
      <c r="F1325" s="148"/>
      <c r="G1325" s="148">
        <v>7</v>
      </c>
      <c r="H1325" s="148">
        <v>39.57</v>
      </c>
      <c r="I1325" s="176"/>
      <c r="J1325" s="170">
        <f t="shared" si="80"/>
        <v>276.99</v>
      </c>
      <c r="L1325" s="10"/>
      <c r="M1325" s="10"/>
      <c r="N1325" s="10"/>
      <c r="O1325" s="10"/>
      <c r="P1325" s="10"/>
      <c r="Q1325" s="10"/>
      <c r="R1325" s="10"/>
      <c r="S1325" s="10"/>
      <c r="T1325" s="10"/>
      <c r="U1325" s="10"/>
      <c r="V1325" s="10"/>
      <c r="W1325" s="10"/>
      <c r="X1325" s="10"/>
      <c r="Y1325" s="10"/>
    </row>
    <row r="1326" spans="1:25" ht="16.5" customHeight="1" x14ac:dyDescent="0.2">
      <c r="A1326" s="413" t="s">
        <v>687</v>
      </c>
      <c r="B1326" s="414"/>
      <c r="C1326" s="33" t="s">
        <v>319</v>
      </c>
      <c r="D1326" s="148">
        <f>2.6*2+2.9*2</f>
        <v>11</v>
      </c>
      <c r="E1326" s="148"/>
      <c r="F1326" s="148">
        <f t="shared" ref="F1326:F1328" si="81">2.9-0.12</f>
        <v>2.78</v>
      </c>
      <c r="G1326" s="148">
        <v>7</v>
      </c>
      <c r="H1326" s="148"/>
      <c r="I1326" s="176">
        <f>(1.2*1.2+0.7*2.1)*7</f>
        <v>20.37</v>
      </c>
      <c r="J1326" s="170">
        <f t="shared" si="80"/>
        <v>193.69</v>
      </c>
      <c r="L1326" s="10"/>
      <c r="M1326" s="10"/>
      <c r="N1326" s="10"/>
      <c r="O1326" s="10"/>
      <c r="P1326" s="10"/>
      <c r="Q1326" s="10"/>
      <c r="R1326" s="10"/>
      <c r="S1326" s="10"/>
      <c r="T1326" s="10"/>
      <c r="U1326" s="10"/>
      <c r="V1326" s="10"/>
      <c r="W1326" s="10"/>
      <c r="X1326" s="10"/>
      <c r="Y1326" s="10"/>
    </row>
    <row r="1327" spans="1:25" ht="16.5" customHeight="1" x14ac:dyDescent="0.2">
      <c r="A1327" s="413"/>
      <c r="B1327" s="414"/>
      <c r="C1327" s="33" t="s">
        <v>320</v>
      </c>
      <c r="D1327" s="148">
        <f>2.4*2+2.9*2</f>
        <v>10.6</v>
      </c>
      <c r="E1327" s="148"/>
      <c r="F1327" s="148">
        <f t="shared" si="81"/>
        <v>2.78</v>
      </c>
      <c r="G1327" s="148">
        <v>7</v>
      </c>
      <c r="H1327" s="148"/>
      <c r="I1327" s="176">
        <f>(1.2*1.2+0.7*2.1)*7</f>
        <v>20.37</v>
      </c>
      <c r="J1327" s="170">
        <f t="shared" si="80"/>
        <v>185.90599999999998</v>
      </c>
      <c r="L1327" s="10"/>
      <c r="M1327" s="10"/>
      <c r="N1327" s="10"/>
      <c r="O1327" s="10"/>
      <c r="P1327" s="10"/>
      <c r="Q1327" s="10"/>
      <c r="R1327" s="10"/>
      <c r="S1327" s="10"/>
      <c r="T1327" s="10"/>
      <c r="U1327" s="10"/>
      <c r="V1327" s="10"/>
      <c r="W1327" s="10"/>
      <c r="X1327" s="10"/>
      <c r="Y1327" s="10"/>
    </row>
    <row r="1328" spans="1:25" ht="16.5" customHeight="1" x14ac:dyDescent="0.2">
      <c r="A1328" s="413"/>
      <c r="B1328" s="414"/>
      <c r="C1328" s="33" t="s">
        <v>321</v>
      </c>
      <c r="D1328" s="148">
        <f>(2.4+5.23+2.4+2.03+1.05+1.2+1.05)</f>
        <v>15.360000000000001</v>
      </c>
      <c r="E1328" s="148"/>
      <c r="F1328" s="148">
        <f t="shared" si="81"/>
        <v>2.78</v>
      </c>
      <c r="G1328" s="148">
        <v>7</v>
      </c>
      <c r="H1328" s="148"/>
      <c r="I1328" s="176">
        <f>(1.8*1.2+3*0.7*2.1+0.8*2.1)*7</f>
        <v>57.75</v>
      </c>
      <c r="J1328" s="170">
        <f t="shared" si="80"/>
        <v>241.15559999999999</v>
      </c>
      <c r="L1328" s="10"/>
      <c r="M1328" s="10"/>
      <c r="N1328" s="10"/>
      <c r="O1328" s="10"/>
      <c r="P1328" s="10"/>
      <c r="Q1328" s="10"/>
      <c r="R1328" s="10"/>
      <c r="S1328" s="10"/>
      <c r="T1328" s="10"/>
      <c r="U1328" s="10"/>
      <c r="V1328" s="10"/>
      <c r="W1328" s="10"/>
      <c r="X1328" s="10"/>
      <c r="Y1328" s="10"/>
    </row>
    <row r="1329" spans="1:25" ht="16.5" customHeight="1" x14ac:dyDescent="0.2">
      <c r="A1329" s="411"/>
      <c r="B1329" s="415"/>
      <c r="C1329" s="33" t="s">
        <v>322</v>
      </c>
      <c r="D1329" s="148"/>
      <c r="E1329" s="148"/>
      <c r="F1329" s="148"/>
      <c r="G1329" s="148">
        <v>7</v>
      </c>
      <c r="H1329" s="148">
        <v>39.57</v>
      </c>
      <c r="I1329" s="176"/>
      <c r="J1329" s="170">
        <f t="shared" si="80"/>
        <v>276.99</v>
      </c>
      <c r="L1329" s="10"/>
      <c r="M1329" s="10"/>
      <c r="N1329" s="10"/>
      <c r="O1329" s="10"/>
      <c r="P1329" s="10"/>
      <c r="Q1329" s="10"/>
      <c r="R1329" s="10"/>
      <c r="S1329" s="10"/>
      <c r="T1329" s="10"/>
      <c r="U1329" s="10"/>
      <c r="V1329" s="10"/>
      <c r="W1329" s="10"/>
      <c r="X1329" s="10"/>
      <c r="Y1329" s="10"/>
    </row>
    <row r="1330" spans="1:25" ht="16.5" customHeight="1" x14ac:dyDescent="0.2">
      <c r="A1330" s="409" t="s">
        <v>787</v>
      </c>
      <c r="B1330" s="410"/>
      <c r="C1330" s="33" t="s">
        <v>322</v>
      </c>
      <c r="D1330" s="148"/>
      <c r="E1330" s="148"/>
      <c r="F1330" s="148"/>
      <c r="G1330" s="148">
        <v>7</v>
      </c>
      <c r="H1330" s="148">
        <f>ROUND(4.44*4.63,2)</f>
        <v>20.56</v>
      </c>
      <c r="I1330" s="175"/>
      <c r="J1330" s="170">
        <f t="shared" si="80"/>
        <v>143.91999999999999</v>
      </c>
      <c r="L1330" s="10"/>
      <c r="M1330" s="10"/>
      <c r="N1330" s="10"/>
      <c r="O1330" s="10"/>
      <c r="P1330" s="10"/>
      <c r="Q1330" s="10"/>
      <c r="R1330" s="10"/>
      <c r="S1330" s="10"/>
      <c r="T1330" s="10"/>
      <c r="U1330" s="10"/>
      <c r="V1330" s="10"/>
      <c r="W1330" s="10"/>
      <c r="X1330" s="10"/>
      <c r="Y1330" s="10"/>
    </row>
    <row r="1331" spans="1:25" ht="16.5" customHeight="1" x14ac:dyDescent="0.2">
      <c r="A1331" s="411"/>
      <c r="B1331" s="412"/>
      <c r="C1331" s="33" t="s">
        <v>323</v>
      </c>
      <c r="D1331" s="148">
        <f>4.44*2+4.63*2+2.03+0.87*2+0.15*2+0.72*2+1.74</f>
        <v>25.39</v>
      </c>
      <c r="E1331" s="148"/>
      <c r="F1331" s="148">
        <v>3.98</v>
      </c>
      <c r="G1331" s="148">
        <v>7</v>
      </c>
      <c r="H1331" s="148"/>
      <c r="I1331" s="176">
        <f>(4*0.8*2.1+2*0.6*1.2+0.8*1.6+0.8*0.6*2)*7</f>
        <v>72.800000000000011</v>
      </c>
      <c r="J1331" s="170">
        <f t="shared" si="80"/>
        <v>634.56539999999995</v>
      </c>
      <c r="L1331" s="10"/>
      <c r="M1331" s="10"/>
      <c r="N1331" s="10"/>
      <c r="O1331" s="10"/>
      <c r="P1331" s="10"/>
      <c r="Q1331" s="10"/>
      <c r="R1331" s="10"/>
      <c r="S1331" s="10"/>
      <c r="T1331" s="10"/>
      <c r="U1331" s="10"/>
      <c r="V1331" s="10"/>
      <c r="W1331" s="10"/>
      <c r="X1331" s="10"/>
      <c r="Y1331" s="10"/>
    </row>
    <row r="1332" spans="1:25" ht="16.5" customHeight="1" x14ac:dyDescent="0.2">
      <c r="A1332" s="318" t="s">
        <v>777</v>
      </c>
      <c r="B1332" s="319"/>
      <c r="C1332" s="332"/>
      <c r="D1332" s="148">
        <f>4.44+4.44</f>
        <v>8.8800000000000008</v>
      </c>
      <c r="E1332" s="148"/>
      <c r="F1332" s="148">
        <v>1.8</v>
      </c>
      <c r="G1332" s="148">
        <v>7</v>
      </c>
      <c r="H1332" s="148"/>
      <c r="I1332" s="176"/>
      <c r="J1332" s="170">
        <f t="shared" si="80"/>
        <v>111.88800000000001</v>
      </c>
      <c r="L1332" s="10"/>
      <c r="M1332" s="10"/>
      <c r="N1332" s="10"/>
      <c r="O1332" s="10"/>
      <c r="P1332" s="10"/>
      <c r="Q1332" s="10"/>
      <c r="R1332" s="10"/>
      <c r="S1332" s="10"/>
      <c r="T1332" s="10"/>
      <c r="U1332" s="10"/>
      <c r="V1332" s="10"/>
      <c r="W1332" s="10"/>
      <c r="X1332" s="10"/>
      <c r="Y1332" s="10"/>
    </row>
    <row r="1333" spans="1:25" ht="16.5" customHeight="1" x14ac:dyDescent="0.2">
      <c r="A1333" s="318" t="s">
        <v>779</v>
      </c>
      <c r="B1333" s="319"/>
      <c r="C1333" s="332"/>
      <c r="D1333" s="148">
        <f>4.63*2</f>
        <v>9.26</v>
      </c>
      <c r="E1333" s="148"/>
      <c r="F1333" s="148">
        <v>1.8</v>
      </c>
      <c r="G1333" s="148">
        <v>7</v>
      </c>
      <c r="H1333" s="148"/>
      <c r="I1333" s="176"/>
      <c r="J1333" s="170">
        <f t="shared" si="80"/>
        <v>116.67599999999999</v>
      </c>
      <c r="L1333" s="10"/>
      <c r="M1333" s="10"/>
      <c r="N1333" s="10"/>
      <c r="O1333" s="10"/>
      <c r="P1333" s="10"/>
      <c r="Q1333" s="10"/>
      <c r="R1333" s="10"/>
      <c r="S1333" s="10"/>
      <c r="T1333" s="10"/>
      <c r="U1333" s="10"/>
      <c r="V1333" s="10"/>
      <c r="W1333" s="10"/>
      <c r="X1333" s="10"/>
      <c r="Y1333" s="10"/>
    </row>
    <row r="1334" spans="1:25" ht="16.5" customHeight="1" x14ac:dyDescent="0.2">
      <c r="A1334" s="318" t="s">
        <v>778</v>
      </c>
      <c r="B1334" s="319"/>
      <c r="C1334" s="332"/>
      <c r="D1334" s="148">
        <f>4.74*2</f>
        <v>9.48</v>
      </c>
      <c r="E1334" s="148"/>
      <c r="F1334" s="148">
        <v>3</v>
      </c>
      <c r="G1334" s="148">
        <v>7</v>
      </c>
      <c r="H1334" s="148"/>
      <c r="I1334" s="176"/>
      <c r="J1334" s="170">
        <f t="shared" si="80"/>
        <v>199.08</v>
      </c>
      <c r="L1334" s="10"/>
      <c r="M1334" s="10"/>
      <c r="N1334" s="10"/>
      <c r="O1334" s="10"/>
      <c r="P1334" s="10"/>
      <c r="Q1334" s="10"/>
      <c r="R1334" s="10"/>
      <c r="S1334" s="10"/>
      <c r="T1334" s="10"/>
      <c r="U1334" s="10"/>
      <c r="V1334" s="10"/>
      <c r="W1334" s="10"/>
      <c r="X1334" s="10"/>
      <c r="Y1334" s="10"/>
    </row>
    <row r="1335" spans="1:25" ht="16.5" customHeight="1" x14ac:dyDescent="0.2">
      <c r="A1335" s="318" t="s">
        <v>780</v>
      </c>
      <c r="B1335" s="319"/>
      <c r="C1335" s="332"/>
      <c r="D1335" s="148">
        <f>4.63+0.3</f>
        <v>4.93</v>
      </c>
      <c r="E1335" s="148"/>
      <c r="F1335" s="148">
        <v>3</v>
      </c>
      <c r="G1335" s="148">
        <v>7</v>
      </c>
      <c r="H1335" s="148"/>
      <c r="I1335" s="176">
        <f>0.8*0.6*2*7</f>
        <v>6.72</v>
      </c>
      <c r="J1335" s="170">
        <f t="shared" si="80"/>
        <v>96.81</v>
      </c>
      <c r="L1335" s="10"/>
      <c r="M1335" s="10"/>
      <c r="N1335" s="10"/>
      <c r="O1335" s="10"/>
      <c r="P1335" s="10"/>
      <c r="Q1335" s="10"/>
      <c r="R1335" s="10"/>
      <c r="S1335" s="10"/>
      <c r="T1335" s="10"/>
      <c r="U1335" s="10"/>
      <c r="V1335" s="10"/>
      <c r="W1335" s="10"/>
      <c r="X1335" s="10"/>
      <c r="Y1335" s="10"/>
    </row>
    <row r="1336" spans="1:25" ht="16.5" customHeight="1" x14ac:dyDescent="0.2">
      <c r="A1336" s="318" t="s">
        <v>781</v>
      </c>
      <c r="B1336" s="319"/>
      <c r="C1336" s="332"/>
      <c r="D1336" s="148">
        <f>(5.02+5.49+17.09+5.49+7.1)*2</f>
        <v>80.38000000000001</v>
      </c>
      <c r="E1336" s="148"/>
      <c r="F1336" s="148">
        <v>1.4</v>
      </c>
      <c r="G1336" s="148">
        <v>7</v>
      </c>
      <c r="H1336" s="148"/>
      <c r="I1336" s="176"/>
      <c r="J1336" s="170">
        <f t="shared" si="80"/>
        <v>787.72400000000005</v>
      </c>
      <c r="L1336" s="10"/>
      <c r="M1336" s="10"/>
      <c r="N1336" s="10"/>
      <c r="O1336" s="10"/>
      <c r="P1336" s="10"/>
      <c r="Q1336" s="10"/>
      <c r="R1336" s="10"/>
      <c r="S1336" s="10"/>
      <c r="T1336" s="10"/>
      <c r="U1336" s="10"/>
      <c r="V1336" s="10"/>
      <c r="W1336" s="10"/>
      <c r="X1336" s="10"/>
      <c r="Y1336" s="10"/>
    </row>
    <row r="1337" spans="1:25" ht="16.5" customHeight="1" x14ac:dyDescent="0.2">
      <c r="A1337" s="318" t="s">
        <v>782</v>
      </c>
      <c r="B1337" s="319"/>
      <c r="C1337" s="332"/>
      <c r="D1337" s="148">
        <f>5.49+17.09+5.49+7.1+4.4+7.1+5.49+17.09+5.49+5.02+4.4+5.02</f>
        <v>89.179999999999993</v>
      </c>
      <c r="E1337" s="148"/>
      <c r="F1337" s="148">
        <v>12.8</v>
      </c>
      <c r="G1337" s="148">
        <v>7</v>
      </c>
      <c r="H1337" s="148"/>
      <c r="I1337" s="176">
        <f>(48*1.2*1.2+16*0.6*1.2+3*0.8*1.6+16*1.8*1.2+8*0.6*1.2)*7</f>
        <v>873.6</v>
      </c>
      <c r="J1337" s="170">
        <f t="shared" si="80"/>
        <v>7116.927999999999</v>
      </c>
      <c r="L1337" s="10"/>
      <c r="M1337" s="10"/>
      <c r="N1337" s="10"/>
      <c r="O1337" s="10"/>
      <c r="P1337" s="10"/>
      <c r="Q1337" s="10"/>
      <c r="R1337" s="10"/>
      <c r="S1337" s="10"/>
      <c r="T1337" s="10"/>
      <c r="U1337" s="10"/>
      <c r="V1337" s="10"/>
      <c r="W1337" s="10"/>
      <c r="X1337" s="10"/>
      <c r="Y1337" s="10"/>
    </row>
    <row r="1338" spans="1:25" ht="16.5" customHeight="1" x14ac:dyDescent="0.2">
      <c r="A1338" s="342" t="str">
        <f>"TOTAL - "&amp;'Planilha orçamentária'!F93</f>
        <v>TOTAL - M2</v>
      </c>
      <c r="B1338" s="342"/>
      <c r="C1338" s="342"/>
      <c r="D1338" s="342"/>
      <c r="E1338" s="342"/>
      <c r="F1338" s="342"/>
      <c r="G1338" s="342"/>
      <c r="H1338" s="342"/>
      <c r="I1338" s="342"/>
      <c r="J1338" s="149">
        <f>SUM(J1260:J1337)</f>
        <v>25279.89520000001</v>
      </c>
      <c r="K1338" s="10"/>
      <c r="L1338" s="10"/>
      <c r="M1338" s="10"/>
      <c r="N1338" s="10"/>
      <c r="O1338" s="10"/>
      <c r="P1338" s="10"/>
      <c r="Q1338" s="10"/>
      <c r="R1338" s="10"/>
      <c r="S1338" s="10"/>
      <c r="T1338" s="10"/>
      <c r="U1338" s="10"/>
      <c r="V1338" s="10"/>
      <c r="W1338" s="10"/>
      <c r="X1338" s="10"/>
      <c r="Y1338" s="10"/>
    </row>
    <row r="1339" spans="1:25" ht="16.5" customHeight="1" x14ac:dyDescent="0.2">
      <c r="A1339" s="184" t="str">
        <f>'Planilha orçamentária'!A94</f>
        <v>12.3</v>
      </c>
      <c r="B1339" s="343" t="str">
        <f>'Planilha orçamentária'!D94</f>
        <v>Pintura acrílica em teto, duas (2) demãos, exclusive selador acrílico e massa acrílica/corrida (pva)</v>
      </c>
      <c r="C1339" s="344"/>
      <c r="D1339" s="344"/>
      <c r="E1339" s="344"/>
      <c r="F1339" s="344"/>
      <c r="G1339" s="344"/>
      <c r="H1339" s="344"/>
      <c r="I1339" s="344"/>
      <c r="J1339" s="344"/>
      <c r="K1339" s="10"/>
      <c r="L1339" s="10"/>
      <c r="M1339" s="10"/>
      <c r="N1339" s="10"/>
      <c r="O1339" s="10"/>
      <c r="P1339" s="10"/>
      <c r="Q1339" s="10"/>
      <c r="R1339" s="10"/>
      <c r="S1339" s="10"/>
      <c r="T1339" s="10"/>
      <c r="U1339" s="10"/>
      <c r="V1339" s="10"/>
      <c r="W1339" s="10"/>
      <c r="X1339" s="10"/>
      <c r="Y1339" s="10"/>
    </row>
    <row r="1340" spans="1:25" ht="16.5" customHeight="1" x14ac:dyDescent="0.2">
      <c r="A1340" s="327" t="s">
        <v>120</v>
      </c>
      <c r="B1340" s="328"/>
      <c r="C1340" s="328"/>
      <c r="D1340" s="182" t="s">
        <v>307</v>
      </c>
      <c r="E1340" s="182" t="s">
        <v>122</v>
      </c>
      <c r="F1340" s="181" t="s">
        <v>123</v>
      </c>
      <c r="G1340" s="181" t="s">
        <v>124</v>
      </c>
      <c r="H1340" s="181" t="s">
        <v>125</v>
      </c>
      <c r="I1340" s="182" t="s">
        <v>126</v>
      </c>
      <c r="J1340" s="182" t="s">
        <v>113</v>
      </c>
      <c r="K1340" s="10"/>
      <c r="L1340" s="10"/>
      <c r="M1340" s="10"/>
      <c r="N1340" s="10"/>
      <c r="O1340" s="10"/>
      <c r="P1340" s="10"/>
      <c r="Q1340" s="10"/>
      <c r="R1340" s="10"/>
      <c r="S1340" s="10"/>
      <c r="T1340" s="10"/>
      <c r="U1340" s="10"/>
      <c r="V1340" s="10"/>
      <c r="W1340" s="10"/>
      <c r="X1340" s="10"/>
      <c r="Y1340" s="10"/>
    </row>
    <row r="1341" spans="1:25" ht="16.5" customHeight="1" x14ac:dyDescent="0.2">
      <c r="A1341" s="318" t="s">
        <v>671</v>
      </c>
      <c r="B1341" s="319"/>
      <c r="C1341" s="332"/>
      <c r="D1341" s="148"/>
      <c r="E1341" s="148"/>
      <c r="F1341" s="148"/>
      <c r="G1341" s="148">
        <v>7</v>
      </c>
      <c r="H1341" s="148">
        <v>39.57</v>
      </c>
      <c r="I1341" s="183"/>
      <c r="J1341" s="170">
        <f t="shared" ref="J1341:J1360" si="82">PRODUCT(D1341:H1341)-I1341</f>
        <v>276.99</v>
      </c>
      <c r="L1341" s="10"/>
      <c r="M1341" s="10"/>
      <c r="N1341" s="10"/>
      <c r="O1341" s="10"/>
      <c r="P1341" s="10"/>
      <c r="Q1341" s="10"/>
      <c r="R1341" s="10"/>
      <c r="S1341" s="10"/>
      <c r="T1341" s="10"/>
      <c r="U1341" s="10"/>
      <c r="V1341" s="10"/>
      <c r="W1341" s="10"/>
      <c r="X1341" s="10"/>
      <c r="Y1341" s="10"/>
    </row>
    <row r="1342" spans="1:25" ht="16.5" customHeight="1" x14ac:dyDescent="0.2">
      <c r="A1342" s="318" t="s">
        <v>672</v>
      </c>
      <c r="B1342" s="319"/>
      <c r="C1342" s="332"/>
      <c r="D1342" s="148"/>
      <c r="E1342" s="148"/>
      <c r="F1342" s="148"/>
      <c r="G1342" s="148">
        <v>7</v>
      </c>
      <c r="H1342" s="148">
        <v>39.57</v>
      </c>
      <c r="I1342" s="183"/>
      <c r="J1342" s="170">
        <f t="shared" si="82"/>
        <v>276.99</v>
      </c>
      <c r="L1342" s="10"/>
      <c r="M1342" s="10"/>
      <c r="N1342" s="10"/>
      <c r="O1342" s="10"/>
      <c r="P1342" s="10"/>
      <c r="Q1342" s="10"/>
      <c r="R1342" s="10"/>
      <c r="S1342" s="10"/>
      <c r="T1342" s="10"/>
      <c r="U1342" s="10"/>
      <c r="V1342" s="10"/>
      <c r="W1342" s="10"/>
      <c r="X1342" s="10"/>
      <c r="Y1342" s="10"/>
    </row>
    <row r="1343" spans="1:25" ht="16.5" customHeight="1" x14ac:dyDescent="0.2">
      <c r="A1343" s="318" t="s">
        <v>673</v>
      </c>
      <c r="B1343" s="319"/>
      <c r="C1343" s="332"/>
      <c r="D1343" s="148"/>
      <c r="E1343" s="148"/>
      <c r="F1343" s="148"/>
      <c r="G1343" s="148">
        <v>7</v>
      </c>
      <c r="H1343" s="148">
        <v>39.57</v>
      </c>
      <c r="I1343" s="183"/>
      <c r="J1343" s="170">
        <f t="shared" si="82"/>
        <v>276.99</v>
      </c>
      <c r="L1343" s="10"/>
      <c r="M1343" s="10"/>
      <c r="N1343" s="10"/>
      <c r="O1343" s="10"/>
      <c r="P1343" s="10"/>
      <c r="Q1343" s="10"/>
      <c r="R1343" s="10"/>
      <c r="S1343" s="10"/>
      <c r="T1343" s="10"/>
      <c r="U1343" s="10"/>
      <c r="V1343" s="10"/>
      <c r="W1343" s="10"/>
      <c r="X1343" s="10"/>
      <c r="Y1343" s="10"/>
    </row>
    <row r="1344" spans="1:25" ht="16.5" customHeight="1" x14ac:dyDescent="0.2">
      <c r="A1344" s="318" t="s">
        <v>674</v>
      </c>
      <c r="B1344" s="319"/>
      <c r="C1344" s="332"/>
      <c r="D1344" s="148"/>
      <c r="E1344" s="148"/>
      <c r="F1344" s="148"/>
      <c r="G1344" s="148">
        <v>7</v>
      </c>
      <c r="H1344" s="148">
        <v>39.57</v>
      </c>
      <c r="I1344" s="183"/>
      <c r="J1344" s="170">
        <f t="shared" si="82"/>
        <v>276.99</v>
      </c>
      <c r="L1344" s="10"/>
      <c r="M1344" s="10"/>
      <c r="N1344" s="10"/>
      <c r="O1344" s="10"/>
      <c r="P1344" s="10"/>
      <c r="Q1344" s="10"/>
      <c r="R1344" s="10"/>
      <c r="S1344" s="10"/>
      <c r="T1344" s="10"/>
      <c r="U1344" s="10"/>
      <c r="V1344" s="10"/>
      <c r="W1344" s="10"/>
      <c r="X1344" s="10"/>
      <c r="Y1344" s="10"/>
    </row>
    <row r="1345" spans="1:25" ht="16.5" customHeight="1" x14ac:dyDescent="0.2">
      <c r="A1345" s="318" t="s">
        <v>810</v>
      </c>
      <c r="B1345" s="319"/>
      <c r="C1345" s="332"/>
      <c r="D1345" s="148"/>
      <c r="E1345" s="148"/>
      <c r="F1345" s="148"/>
      <c r="G1345" s="148">
        <v>7</v>
      </c>
      <c r="H1345" s="148">
        <f>ROUND(4.44*4.63,2)</f>
        <v>20.56</v>
      </c>
      <c r="I1345" s="183"/>
      <c r="J1345" s="170">
        <f t="shared" si="82"/>
        <v>143.91999999999999</v>
      </c>
      <c r="L1345" s="10"/>
      <c r="M1345" s="10"/>
      <c r="N1345" s="10"/>
      <c r="O1345" s="10"/>
      <c r="P1345" s="10"/>
      <c r="Q1345" s="10"/>
      <c r="R1345" s="10"/>
      <c r="S1345" s="10"/>
      <c r="T1345" s="10"/>
      <c r="U1345" s="10"/>
      <c r="V1345" s="10"/>
      <c r="W1345" s="10"/>
      <c r="X1345" s="10"/>
      <c r="Y1345" s="10"/>
    </row>
    <row r="1346" spans="1:25" ht="16.5" customHeight="1" x14ac:dyDescent="0.2">
      <c r="A1346" s="318" t="s">
        <v>811</v>
      </c>
      <c r="B1346" s="319"/>
      <c r="C1346" s="332"/>
      <c r="D1346" s="148"/>
      <c r="E1346" s="148"/>
      <c r="F1346" s="148"/>
      <c r="G1346" s="148">
        <v>7</v>
      </c>
      <c r="H1346" s="148">
        <v>39.57</v>
      </c>
      <c r="I1346" s="183"/>
      <c r="J1346" s="170">
        <f t="shared" si="82"/>
        <v>276.99</v>
      </c>
      <c r="L1346" s="10"/>
      <c r="M1346" s="10"/>
      <c r="N1346" s="10"/>
      <c r="O1346" s="10"/>
      <c r="P1346" s="10"/>
      <c r="Q1346" s="10"/>
      <c r="R1346" s="10"/>
      <c r="S1346" s="10"/>
      <c r="T1346" s="10"/>
      <c r="U1346" s="10"/>
      <c r="V1346" s="10"/>
      <c r="W1346" s="10"/>
      <c r="X1346" s="10"/>
      <c r="Y1346" s="10"/>
    </row>
    <row r="1347" spans="1:25" ht="16.5" customHeight="1" x14ac:dyDescent="0.2">
      <c r="A1347" s="318" t="s">
        <v>676</v>
      </c>
      <c r="B1347" s="319"/>
      <c r="C1347" s="332"/>
      <c r="D1347" s="148"/>
      <c r="E1347" s="148"/>
      <c r="F1347" s="148"/>
      <c r="G1347" s="148">
        <v>7</v>
      </c>
      <c r="H1347" s="148">
        <v>39.57</v>
      </c>
      <c r="I1347" s="183"/>
      <c r="J1347" s="170">
        <f t="shared" si="82"/>
        <v>276.99</v>
      </c>
      <c r="L1347" s="10"/>
      <c r="M1347" s="10"/>
      <c r="N1347" s="10"/>
      <c r="O1347" s="10"/>
      <c r="P1347" s="10"/>
      <c r="Q1347" s="10"/>
      <c r="R1347" s="10"/>
      <c r="S1347" s="10"/>
      <c r="T1347" s="10"/>
      <c r="U1347" s="10"/>
      <c r="V1347" s="10"/>
      <c r="W1347" s="10"/>
      <c r="X1347" s="10"/>
      <c r="Y1347" s="10"/>
    </row>
    <row r="1348" spans="1:25" ht="16.5" customHeight="1" x14ac:dyDescent="0.2">
      <c r="A1348" s="318" t="s">
        <v>677</v>
      </c>
      <c r="B1348" s="319"/>
      <c r="C1348" s="332"/>
      <c r="D1348" s="148"/>
      <c r="E1348" s="148"/>
      <c r="F1348" s="148"/>
      <c r="G1348" s="148">
        <v>7</v>
      </c>
      <c r="H1348" s="148">
        <v>39.57</v>
      </c>
      <c r="I1348" s="183"/>
      <c r="J1348" s="170">
        <f t="shared" si="82"/>
        <v>276.99</v>
      </c>
      <c r="L1348" s="10"/>
      <c r="M1348" s="10"/>
      <c r="N1348" s="10"/>
      <c r="O1348" s="10"/>
      <c r="P1348" s="10"/>
      <c r="Q1348" s="10"/>
      <c r="R1348" s="10"/>
      <c r="S1348" s="10"/>
      <c r="T1348" s="10"/>
      <c r="U1348" s="10"/>
      <c r="V1348" s="10"/>
      <c r="W1348" s="10"/>
      <c r="X1348" s="10"/>
      <c r="Y1348" s="10"/>
    </row>
    <row r="1349" spans="1:25" ht="16.5" customHeight="1" x14ac:dyDescent="0.2">
      <c r="A1349" s="318" t="s">
        <v>678</v>
      </c>
      <c r="B1349" s="319"/>
      <c r="C1349" s="332"/>
      <c r="D1349" s="148"/>
      <c r="E1349" s="148"/>
      <c r="F1349" s="148"/>
      <c r="G1349" s="148">
        <v>7</v>
      </c>
      <c r="H1349" s="148">
        <v>39.57</v>
      </c>
      <c r="I1349" s="183"/>
      <c r="J1349" s="170">
        <f t="shared" si="82"/>
        <v>276.99</v>
      </c>
      <c r="L1349" s="10"/>
      <c r="M1349" s="10"/>
      <c r="N1349" s="10"/>
      <c r="O1349" s="10"/>
      <c r="P1349" s="10"/>
      <c r="Q1349" s="10"/>
      <c r="R1349" s="10"/>
      <c r="S1349" s="10"/>
      <c r="T1349" s="10"/>
      <c r="U1349" s="10"/>
      <c r="V1349" s="10"/>
      <c r="W1349" s="10"/>
      <c r="X1349" s="10"/>
      <c r="Y1349" s="10"/>
    </row>
    <row r="1350" spans="1:25" ht="16.5" customHeight="1" x14ac:dyDescent="0.2">
      <c r="A1350" s="318" t="s">
        <v>785</v>
      </c>
      <c r="B1350" s="319"/>
      <c r="C1350" s="332"/>
      <c r="D1350" s="148"/>
      <c r="E1350" s="148"/>
      <c r="F1350" s="148"/>
      <c r="G1350" s="148">
        <v>7</v>
      </c>
      <c r="H1350" s="148">
        <f>ROUND(4.44*4.63,2)</f>
        <v>20.56</v>
      </c>
      <c r="I1350" s="183"/>
      <c r="J1350" s="170">
        <f t="shared" si="82"/>
        <v>143.91999999999999</v>
      </c>
      <c r="L1350" s="10"/>
      <c r="M1350" s="10"/>
      <c r="N1350" s="10"/>
      <c r="O1350" s="10"/>
      <c r="P1350" s="10"/>
      <c r="Q1350" s="10"/>
      <c r="R1350" s="10"/>
      <c r="S1350" s="10"/>
      <c r="T1350" s="10"/>
      <c r="U1350" s="10"/>
      <c r="V1350" s="10"/>
      <c r="W1350" s="10"/>
      <c r="X1350" s="10"/>
      <c r="Y1350" s="10"/>
    </row>
    <row r="1351" spans="1:25" ht="16.5" customHeight="1" x14ac:dyDescent="0.2">
      <c r="A1351" s="318" t="s">
        <v>679</v>
      </c>
      <c r="B1351" s="319"/>
      <c r="C1351" s="332"/>
      <c r="D1351" s="148"/>
      <c r="E1351" s="148"/>
      <c r="F1351" s="148"/>
      <c r="G1351" s="148">
        <v>7</v>
      </c>
      <c r="H1351" s="148">
        <v>39.57</v>
      </c>
      <c r="I1351" s="183"/>
      <c r="J1351" s="170">
        <f t="shared" si="82"/>
        <v>276.99</v>
      </c>
      <c r="L1351" s="10"/>
      <c r="M1351" s="10"/>
      <c r="N1351" s="10"/>
      <c r="O1351" s="10"/>
      <c r="P1351" s="10"/>
      <c r="Q1351" s="10"/>
      <c r="R1351" s="10"/>
      <c r="S1351" s="10"/>
      <c r="T1351" s="10"/>
      <c r="U1351" s="10"/>
      <c r="V1351" s="10"/>
      <c r="W1351" s="10"/>
      <c r="X1351" s="10"/>
      <c r="Y1351" s="10"/>
    </row>
    <row r="1352" spans="1:25" ht="16.5" customHeight="1" x14ac:dyDescent="0.2">
      <c r="A1352" s="318" t="s">
        <v>769</v>
      </c>
      <c r="B1352" s="319"/>
      <c r="C1352" s="332"/>
      <c r="D1352" s="148"/>
      <c r="E1352" s="148"/>
      <c r="F1352" s="148"/>
      <c r="G1352" s="148">
        <v>7</v>
      </c>
      <c r="H1352" s="148">
        <v>39.57</v>
      </c>
      <c r="I1352" s="183"/>
      <c r="J1352" s="170">
        <f t="shared" si="82"/>
        <v>276.99</v>
      </c>
      <c r="L1352" s="10"/>
      <c r="M1352" s="10"/>
      <c r="N1352" s="10"/>
      <c r="O1352" s="10"/>
      <c r="P1352" s="10"/>
      <c r="Q1352" s="10"/>
      <c r="R1352" s="10"/>
      <c r="S1352" s="10"/>
      <c r="T1352" s="10"/>
      <c r="U1352" s="10"/>
      <c r="V1352" s="10"/>
      <c r="W1352" s="10"/>
      <c r="X1352" s="10"/>
      <c r="Y1352" s="10"/>
    </row>
    <row r="1353" spans="1:25" ht="16.5" customHeight="1" x14ac:dyDescent="0.2">
      <c r="A1353" s="318" t="s">
        <v>681</v>
      </c>
      <c r="B1353" s="319"/>
      <c r="C1353" s="332"/>
      <c r="D1353" s="148"/>
      <c r="E1353" s="148"/>
      <c r="F1353" s="148"/>
      <c r="G1353" s="148">
        <v>7</v>
      </c>
      <c r="H1353" s="148">
        <v>39.57</v>
      </c>
      <c r="I1353" s="183"/>
      <c r="J1353" s="170">
        <f t="shared" si="82"/>
        <v>276.99</v>
      </c>
      <c r="L1353" s="10"/>
      <c r="M1353" s="10"/>
      <c r="N1353" s="10"/>
      <c r="O1353" s="10"/>
      <c r="P1353" s="10"/>
      <c r="Q1353" s="10"/>
      <c r="R1353" s="10"/>
      <c r="S1353" s="10"/>
      <c r="T1353" s="10"/>
      <c r="U1353" s="10"/>
      <c r="V1353" s="10"/>
      <c r="W1353" s="10"/>
      <c r="X1353" s="10"/>
      <c r="Y1353" s="10"/>
    </row>
    <row r="1354" spans="1:25" ht="16.5" customHeight="1" x14ac:dyDescent="0.2">
      <c r="A1354" s="318" t="s">
        <v>682</v>
      </c>
      <c r="B1354" s="319"/>
      <c r="C1354" s="332"/>
      <c r="D1354" s="148"/>
      <c r="E1354" s="148"/>
      <c r="F1354" s="148"/>
      <c r="G1354" s="148">
        <v>7</v>
      </c>
      <c r="H1354" s="148">
        <v>39.57</v>
      </c>
      <c r="I1354" s="183"/>
      <c r="J1354" s="170">
        <f t="shared" si="82"/>
        <v>276.99</v>
      </c>
      <c r="L1354" s="10"/>
      <c r="M1354" s="10"/>
      <c r="N1354" s="10"/>
      <c r="O1354" s="10"/>
      <c r="P1354" s="10"/>
      <c r="Q1354" s="10"/>
      <c r="R1354" s="10"/>
      <c r="S1354" s="10"/>
      <c r="T1354" s="10"/>
      <c r="U1354" s="10"/>
      <c r="V1354" s="10"/>
      <c r="W1354" s="10"/>
      <c r="X1354" s="10"/>
      <c r="Y1354" s="10"/>
    </row>
    <row r="1355" spans="1:25" ht="16.5" customHeight="1" x14ac:dyDescent="0.2">
      <c r="A1355" s="318" t="s">
        <v>786</v>
      </c>
      <c r="B1355" s="319"/>
      <c r="C1355" s="332"/>
      <c r="D1355" s="148"/>
      <c r="E1355" s="148"/>
      <c r="F1355" s="148"/>
      <c r="G1355" s="148">
        <v>7</v>
      </c>
      <c r="H1355" s="148">
        <f>ROUND(4.44*4.63,2)</f>
        <v>20.56</v>
      </c>
      <c r="I1355" s="183"/>
      <c r="J1355" s="170">
        <f t="shared" si="82"/>
        <v>143.91999999999999</v>
      </c>
      <c r="L1355" s="10"/>
      <c r="M1355" s="10"/>
      <c r="N1355" s="10"/>
      <c r="O1355" s="10"/>
      <c r="P1355" s="10"/>
      <c r="Q1355" s="10"/>
      <c r="R1355" s="10"/>
      <c r="S1355" s="10"/>
      <c r="T1355" s="10"/>
      <c r="U1355" s="10"/>
      <c r="V1355" s="10"/>
      <c r="W1355" s="10"/>
      <c r="X1355" s="10"/>
      <c r="Y1355" s="10"/>
    </row>
    <row r="1356" spans="1:25" ht="16.5" customHeight="1" x14ac:dyDescent="0.2">
      <c r="A1356" s="318" t="s">
        <v>683</v>
      </c>
      <c r="B1356" s="319"/>
      <c r="C1356" s="332"/>
      <c r="D1356" s="148"/>
      <c r="E1356" s="148"/>
      <c r="F1356" s="148"/>
      <c r="G1356" s="148">
        <v>7</v>
      </c>
      <c r="H1356" s="148">
        <v>39.57</v>
      </c>
      <c r="I1356" s="183"/>
      <c r="J1356" s="170">
        <f t="shared" si="82"/>
        <v>276.99</v>
      </c>
      <c r="L1356" s="10"/>
      <c r="M1356" s="10"/>
      <c r="N1356" s="10"/>
      <c r="O1356" s="10"/>
      <c r="P1356" s="10"/>
      <c r="Q1356" s="10"/>
      <c r="R1356" s="10"/>
      <c r="S1356" s="10"/>
      <c r="T1356" s="10"/>
      <c r="U1356" s="10"/>
      <c r="V1356" s="10"/>
      <c r="W1356" s="10"/>
      <c r="X1356" s="10"/>
      <c r="Y1356" s="10"/>
    </row>
    <row r="1357" spans="1:25" ht="16.5" customHeight="1" x14ac:dyDescent="0.2">
      <c r="A1357" s="318" t="s">
        <v>812</v>
      </c>
      <c r="B1357" s="319"/>
      <c r="C1357" s="332"/>
      <c r="D1357" s="148"/>
      <c r="E1357" s="148"/>
      <c r="F1357" s="148"/>
      <c r="G1357" s="148">
        <v>7</v>
      </c>
      <c r="H1357" s="148">
        <v>39.57</v>
      </c>
      <c r="I1357" s="183"/>
      <c r="J1357" s="170">
        <f t="shared" si="82"/>
        <v>276.99</v>
      </c>
      <c r="L1357" s="10"/>
      <c r="M1357" s="10"/>
      <c r="N1357" s="10"/>
      <c r="O1357" s="10"/>
      <c r="P1357" s="10"/>
      <c r="Q1357" s="10"/>
      <c r="R1357" s="10"/>
      <c r="S1357" s="10"/>
      <c r="T1357" s="10"/>
      <c r="U1357" s="10"/>
      <c r="V1357" s="10"/>
      <c r="W1357" s="10"/>
      <c r="X1357" s="10"/>
      <c r="Y1357" s="10"/>
    </row>
    <row r="1358" spans="1:25" ht="16.5" customHeight="1" x14ac:dyDescent="0.2">
      <c r="A1358" s="318" t="s">
        <v>813</v>
      </c>
      <c r="B1358" s="319"/>
      <c r="C1358" s="332"/>
      <c r="D1358" s="148"/>
      <c r="E1358" s="148"/>
      <c r="F1358" s="148"/>
      <c r="G1358" s="148">
        <v>7</v>
      </c>
      <c r="H1358" s="148">
        <v>39.57</v>
      </c>
      <c r="I1358" s="183"/>
      <c r="J1358" s="170">
        <f t="shared" si="82"/>
        <v>276.99</v>
      </c>
      <c r="L1358" s="10"/>
      <c r="M1358" s="10"/>
      <c r="N1358" s="10"/>
      <c r="O1358" s="10"/>
      <c r="P1358" s="10"/>
      <c r="Q1358" s="10"/>
      <c r="R1358" s="10"/>
      <c r="S1358" s="10"/>
      <c r="T1358" s="10"/>
      <c r="U1358" s="10"/>
      <c r="V1358" s="10"/>
      <c r="W1358" s="10"/>
      <c r="X1358" s="10"/>
      <c r="Y1358" s="10"/>
    </row>
    <row r="1359" spans="1:25" ht="16.5" customHeight="1" x14ac:dyDescent="0.2">
      <c r="A1359" s="318" t="s">
        <v>687</v>
      </c>
      <c r="B1359" s="319"/>
      <c r="C1359" s="332"/>
      <c r="D1359" s="148"/>
      <c r="E1359" s="148"/>
      <c r="F1359" s="148"/>
      <c r="G1359" s="148">
        <v>7</v>
      </c>
      <c r="H1359" s="148">
        <v>39.57</v>
      </c>
      <c r="I1359" s="183"/>
      <c r="J1359" s="170">
        <f t="shared" si="82"/>
        <v>276.99</v>
      </c>
      <c r="L1359" s="10"/>
      <c r="M1359" s="10"/>
      <c r="N1359" s="10"/>
      <c r="O1359" s="10"/>
      <c r="P1359" s="10"/>
      <c r="Q1359" s="10"/>
      <c r="R1359" s="10"/>
      <c r="S1359" s="10"/>
      <c r="T1359" s="10"/>
      <c r="U1359" s="10"/>
      <c r="V1359" s="10"/>
      <c r="W1359" s="10"/>
      <c r="X1359" s="10"/>
      <c r="Y1359" s="10"/>
    </row>
    <row r="1360" spans="1:25" ht="16.5" customHeight="1" x14ac:dyDescent="0.2">
      <c r="A1360" s="318" t="s">
        <v>793</v>
      </c>
      <c r="B1360" s="319"/>
      <c r="C1360" s="332"/>
      <c r="D1360" s="148"/>
      <c r="E1360" s="148"/>
      <c r="F1360" s="148"/>
      <c r="G1360" s="148">
        <v>7</v>
      </c>
      <c r="H1360" s="148">
        <f>ROUND(4.44*4.63,2)</f>
        <v>20.56</v>
      </c>
      <c r="I1360" s="183"/>
      <c r="J1360" s="170">
        <f t="shared" si="82"/>
        <v>143.91999999999999</v>
      </c>
      <c r="L1360" s="10"/>
      <c r="M1360" s="10"/>
      <c r="N1360" s="10"/>
      <c r="O1360" s="10"/>
      <c r="P1360" s="10"/>
      <c r="Q1360" s="10"/>
      <c r="R1360" s="10"/>
      <c r="S1360" s="10"/>
      <c r="T1360" s="10"/>
      <c r="U1360" s="10"/>
      <c r="V1360" s="10"/>
      <c r="W1360" s="10"/>
      <c r="X1360" s="10"/>
      <c r="Y1360" s="10"/>
    </row>
    <row r="1361" spans="1:25" ht="16.5" customHeight="1" x14ac:dyDescent="0.2">
      <c r="A1361" s="342" t="str">
        <f>"TOTAL - "&amp;'Planilha orçamentária'!F94</f>
        <v>TOTAL - M2</v>
      </c>
      <c r="B1361" s="342"/>
      <c r="C1361" s="342"/>
      <c r="D1361" s="342"/>
      <c r="E1361" s="342"/>
      <c r="F1361" s="342"/>
      <c r="G1361" s="342"/>
      <c r="H1361" s="342"/>
      <c r="I1361" s="342"/>
      <c r="J1361" s="149">
        <f>SUM(J1341:J1360)</f>
        <v>5007.5199999999986</v>
      </c>
      <c r="K1361" s="10"/>
      <c r="L1361" s="10"/>
      <c r="M1361" s="10"/>
      <c r="N1361" s="10"/>
      <c r="O1361" s="10"/>
      <c r="P1361" s="10"/>
      <c r="Q1361" s="10"/>
      <c r="R1361" s="10"/>
      <c r="S1361" s="10"/>
      <c r="T1361" s="10"/>
      <c r="U1361" s="10"/>
      <c r="V1361" s="10"/>
      <c r="W1361" s="10"/>
      <c r="X1361" s="10"/>
      <c r="Y1361" s="10"/>
    </row>
    <row r="1362" spans="1:25" ht="16.5" customHeight="1" x14ac:dyDescent="0.2">
      <c r="A1362" s="184" t="str">
        <f>'Planilha orçamentária'!A95</f>
        <v>12.4</v>
      </c>
      <c r="B1362" s="343" t="str">
        <f>'Planilha orçamentária'!D95</f>
        <v>Pintura com verniz sintético marítimo em esquadrias de madeira, duas (2) demãos, acabamento tipo acetinado (brilho sútil)</v>
      </c>
      <c r="C1362" s="344"/>
      <c r="D1362" s="344"/>
      <c r="E1362" s="344"/>
      <c r="F1362" s="344"/>
      <c r="G1362" s="344"/>
      <c r="H1362" s="344"/>
      <c r="I1362" s="344"/>
      <c r="J1362" s="344"/>
      <c r="K1362" s="10"/>
      <c r="L1362" s="10"/>
      <c r="M1362" s="10"/>
      <c r="N1362" s="10"/>
      <c r="O1362" s="10"/>
      <c r="P1362" s="10"/>
      <c r="Q1362" s="10"/>
      <c r="R1362" s="10"/>
      <c r="S1362" s="10"/>
      <c r="T1362" s="10"/>
      <c r="U1362" s="10"/>
      <c r="V1362" s="10"/>
      <c r="W1362" s="10"/>
      <c r="X1362" s="10"/>
      <c r="Y1362" s="10"/>
    </row>
    <row r="1363" spans="1:25" ht="25.5" customHeight="1" x14ac:dyDescent="0.2">
      <c r="A1363" s="327" t="s">
        <v>120</v>
      </c>
      <c r="B1363" s="328"/>
      <c r="C1363" s="328"/>
      <c r="D1363" s="182" t="s">
        <v>128</v>
      </c>
      <c r="E1363" s="182" t="s">
        <v>122</v>
      </c>
      <c r="F1363" s="181" t="s">
        <v>123</v>
      </c>
      <c r="G1363" s="181" t="s">
        <v>491</v>
      </c>
      <c r="H1363" s="181" t="s">
        <v>489</v>
      </c>
      <c r="I1363" s="182" t="s">
        <v>125</v>
      </c>
      <c r="J1363" s="182" t="s">
        <v>113</v>
      </c>
      <c r="K1363" s="10"/>
      <c r="L1363" s="10"/>
      <c r="M1363" s="10"/>
      <c r="N1363" s="10"/>
      <c r="O1363" s="10"/>
      <c r="P1363" s="10"/>
      <c r="Q1363" s="10"/>
      <c r="R1363" s="10"/>
      <c r="S1363" s="10"/>
      <c r="T1363" s="10"/>
      <c r="U1363" s="10"/>
      <c r="V1363" s="10"/>
      <c r="W1363" s="10"/>
      <c r="X1363" s="10"/>
      <c r="Y1363" s="10"/>
    </row>
    <row r="1364" spans="1:25" s="31" customFormat="1" ht="16.5" customHeight="1" x14ac:dyDescent="0.2">
      <c r="A1364" s="409" t="s">
        <v>671</v>
      </c>
      <c r="B1364" s="410"/>
      <c r="C1364" s="416"/>
      <c r="D1364" s="148">
        <v>2</v>
      </c>
      <c r="E1364" s="148">
        <v>0.7</v>
      </c>
      <c r="F1364" s="148">
        <v>2.1</v>
      </c>
      <c r="G1364" s="148">
        <v>3</v>
      </c>
      <c r="H1364" s="148">
        <v>7</v>
      </c>
      <c r="I1364" s="148"/>
      <c r="J1364" s="170">
        <f t="shared" ref="J1364:J1394" si="83">PRODUCT(D1364:H1364)-I1364</f>
        <v>61.74</v>
      </c>
      <c r="L1364" s="150"/>
      <c r="M1364" s="150"/>
      <c r="N1364" s="150"/>
      <c r="O1364" s="150"/>
      <c r="P1364" s="150"/>
      <c r="Q1364" s="150"/>
      <c r="R1364" s="150"/>
      <c r="S1364" s="150"/>
      <c r="T1364" s="150"/>
      <c r="U1364" s="150"/>
      <c r="V1364" s="150"/>
      <c r="W1364" s="150"/>
      <c r="X1364" s="150"/>
      <c r="Y1364" s="150"/>
    </row>
    <row r="1365" spans="1:25" s="31" customFormat="1" ht="16.5" customHeight="1" x14ac:dyDescent="0.2">
      <c r="A1365" s="411"/>
      <c r="B1365" s="412"/>
      <c r="C1365" s="415"/>
      <c r="D1365" s="148">
        <v>2</v>
      </c>
      <c r="E1365" s="148">
        <v>0.8</v>
      </c>
      <c r="F1365" s="148">
        <v>2.1</v>
      </c>
      <c r="G1365" s="148">
        <v>1</v>
      </c>
      <c r="H1365" s="148">
        <v>7</v>
      </c>
      <c r="I1365" s="148"/>
      <c r="J1365" s="170">
        <f t="shared" si="83"/>
        <v>23.520000000000003</v>
      </c>
      <c r="L1365" s="150"/>
      <c r="M1365" s="150"/>
      <c r="N1365" s="150"/>
      <c r="O1365" s="150"/>
      <c r="P1365" s="150"/>
      <c r="Q1365" s="150"/>
      <c r="R1365" s="150"/>
      <c r="S1365" s="150"/>
      <c r="T1365" s="150"/>
      <c r="U1365" s="150"/>
      <c r="V1365" s="150"/>
      <c r="W1365" s="150"/>
      <c r="X1365" s="150"/>
      <c r="Y1365" s="150"/>
    </row>
    <row r="1366" spans="1:25" s="31" customFormat="1" ht="16.5" customHeight="1" x14ac:dyDescent="0.2">
      <c r="A1366" s="409" t="s">
        <v>672</v>
      </c>
      <c r="B1366" s="410"/>
      <c r="C1366" s="416"/>
      <c r="D1366" s="148">
        <v>2</v>
      </c>
      <c r="E1366" s="148">
        <v>0.7</v>
      </c>
      <c r="F1366" s="148">
        <v>2.1</v>
      </c>
      <c r="G1366" s="148">
        <v>3</v>
      </c>
      <c r="H1366" s="148">
        <v>7</v>
      </c>
      <c r="I1366" s="148"/>
      <c r="J1366" s="170">
        <f t="shared" si="83"/>
        <v>61.74</v>
      </c>
      <c r="L1366" s="150"/>
      <c r="M1366" s="150"/>
      <c r="N1366" s="150"/>
      <c r="O1366" s="150"/>
      <c r="P1366" s="150"/>
      <c r="Q1366" s="150"/>
      <c r="R1366" s="150"/>
      <c r="S1366" s="150"/>
      <c r="T1366" s="150"/>
      <c r="U1366" s="150"/>
      <c r="V1366" s="150"/>
      <c r="W1366" s="150"/>
      <c r="X1366" s="150"/>
      <c r="Y1366" s="150"/>
    </row>
    <row r="1367" spans="1:25" s="31" customFormat="1" ht="16.5" customHeight="1" x14ac:dyDescent="0.2">
      <c r="A1367" s="411"/>
      <c r="B1367" s="412"/>
      <c r="C1367" s="415"/>
      <c r="D1367" s="148">
        <v>2</v>
      </c>
      <c r="E1367" s="148">
        <v>0.8</v>
      </c>
      <c r="F1367" s="148">
        <v>2.1</v>
      </c>
      <c r="G1367" s="148">
        <v>1</v>
      </c>
      <c r="H1367" s="148">
        <v>7</v>
      </c>
      <c r="I1367" s="148"/>
      <c r="J1367" s="170">
        <f t="shared" si="83"/>
        <v>23.520000000000003</v>
      </c>
      <c r="L1367" s="150"/>
      <c r="M1367" s="150"/>
      <c r="N1367" s="150"/>
      <c r="O1367" s="150"/>
      <c r="P1367" s="150"/>
      <c r="Q1367" s="150"/>
      <c r="R1367" s="150"/>
      <c r="S1367" s="150"/>
      <c r="T1367" s="150"/>
      <c r="U1367" s="150"/>
      <c r="V1367" s="150"/>
      <c r="W1367" s="150"/>
      <c r="X1367" s="150"/>
      <c r="Y1367" s="150"/>
    </row>
    <row r="1368" spans="1:25" ht="16.5" customHeight="1" x14ac:dyDescent="0.2">
      <c r="A1368" s="409" t="s">
        <v>673</v>
      </c>
      <c r="B1368" s="410"/>
      <c r="C1368" s="416"/>
      <c r="D1368" s="148">
        <v>2</v>
      </c>
      <c r="E1368" s="148">
        <v>0.8</v>
      </c>
      <c r="F1368" s="148">
        <v>2.1</v>
      </c>
      <c r="G1368" s="148">
        <v>4</v>
      </c>
      <c r="H1368" s="148">
        <v>7</v>
      </c>
      <c r="I1368" s="183"/>
      <c r="J1368" s="170">
        <f t="shared" si="83"/>
        <v>94.080000000000013</v>
      </c>
      <c r="L1368" s="10"/>
      <c r="M1368" s="10"/>
      <c r="N1368" s="10"/>
      <c r="O1368" s="10"/>
      <c r="P1368" s="10"/>
      <c r="Q1368" s="10"/>
      <c r="R1368" s="10"/>
      <c r="S1368" s="10"/>
      <c r="T1368" s="10"/>
      <c r="U1368" s="10"/>
      <c r="V1368" s="10"/>
      <c r="W1368" s="10"/>
      <c r="X1368" s="10"/>
      <c r="Y1368" s="10"/>
    </row>
    <row r="1369" spans="1:25" s="31" customFormat="1" ht="16.5" customHeight="1" x14ac:dyDescent="0.2">
      <c r="A1369" s="409" t="s">
        <v>674</v>
      </c>
      <c r="B1369" s="410"/>
      <c r="C1369" s="416"/>
      <c r="D1369" s="148">
        <v>2</v>
      </c>
      <c r="E1369" s="148">
        <v>0.7</v>
      </c>
      <c r="F1369" s="148">
        <v>2.1</v>
      </c>
      <c r="G1369" s="148">
        <v>3</v>
      </c>
      <c r="H1369" s="148">
        <v>7</v>
      </c>
      <c r="I1369" s="148"/>
      <c r="J1369" s="170">
        <f t="shared" si="83"/>
        <v>61.74</v>
      </c>
      <c r="L1369" s="150"/>
      <c r="M1369" s="150"/>
      <c r="N1369" s="150"/>
      <c r="O1369" s="150"/>
      <c r="P1369" s="150"/>
      <c r="Q1369" s="150"/>
      <c r="R1369" s="150"/>
      <c r="S1369" s="150"/>
      <c r="T1369" s="150"/>
      <c r="U1369" s="150"/>
      <c r="V1369" s="150"/>
      <c r="W1369" s="150"/>
      <c r="X1369" s="150"/>
      <c r="Y1369" s="150"/>
    </row>
    <row r="1370" spans="1:25" s="31" customFormat="1" ht="16.5" customHeight="1" x14ac:dyDescent="0.2">
      <c r="A1370" s="411"/>
      <c r="B1370" s="412"/>
      <c r="C1370" s="415"/>
      <c r="D1370" s="148">
        <v>2</v>
      </c>
      <c r="E1370" s="148">
        <v>0.8</v>
      </c>
      <c r="F1370" s="148">
        <v>2.1</v>
      </c>
      <c r="G1370" s="148">
        <v>1</v>
      </c>
      <c r="H1370" s="148">
        <v>7</v>
      </c>
      <c r="I1370" s="148"/>
      <c r="J1370" s="170">
        <f t="shared" si="83"/>
        <v>23.520000000000003</v>
      </c>
      <c r="L1370" s="150"/>
      <c r="M1370" s="150"/>
      <c r="N1370" s="150"/>
      <c r="O1370" s="150"/>
      <c r="P1370" s="150"/>
      <c r="Q1370" s="150"/>
      <c r="R1370" s="150"/>
      <c r="S1370" s="150"/>
      <c r="T1370" s="150"/>
      <c r="U1370" s="150"/>
      <c r="V1370" s="150"/>
      <c r="W1370" s="150"/>
      <c r="X1370" s="150"/>
      <c r="Y1370" s="150"/>
    </row>
    <row r="1371" spans="1:25" s="31" customFormat="1" ht="16.5" customHeight="1" x14ac:dyDescent="0.2">
      <c r="A1371" s="409" t="s">
        <v>811</v>
      </c>
      <c r="B1371" s="410"/>
      <c r="C1371" s="416"/>
      <c r="D1371" s="148">
        <v>2</v>
      </c>
      <c r="E1371" s="148">
        <v>0.7</v>
      </c>
      <c r="F1371" s="148">
        <v>2.1</v>
      </c>
      <c r="G1371" s="148">
        <v>3</v>
      </c>
      <c r="H1371" s="148">
        <v>7</v>
      </c>
      <c r="I1371" s="148"/>
      <c r="J1371" s="170">
        <f t="shared" si="83"/>
        <v>61.74</v>
      </c>
      <c r="L1371" s="150"/>
      <c r="M1371" s="150"/>
      <c r="N1371" s="150"/>
      <c r="O1371" s="150"/>
      <c r="P1371" s="150"/>
      <c r="Q1371" s="150"/>
      <c r="R1371" s="150"/>
      <c r="S1371" s="150"/>
      <c r="T1371" s="150"/>
      <c r="U1371" s="150"/>
      <c r="V1371" s="150"/>
      <c r="W1371" s="150"/>
      <c r="X1371" s="150"/>
      <c r="Y1371" s="150"/>
    </row>
    <row r="1372" spans="1:25" s="31" customFormat="1" ht="16.5" customHeight="1" x14ac:dyDescent="0.2">
      <c r="A1372" s="411"/>
      <c r="B1372" s="412"/>
      <c r="C1372" s="415"/>
      <c r="D1372" s="148">
        <v>2</v>
      </c>
      <c r="E1372" s="148">
        <v>0.8</v>
      </c>
      <c r="F1372" s="148">
        <v>2.1</v>
      </c>
      <c r="G1372" s="148">
        <v>1</v>
      </c>
      <c r="H1372" s="148">
        <v>7</v>
      </c>
      <c r="I1372" s="148"/>
      <c r="J1372" s="170">
        <f t="shared" si="83"/>
        <v>23.520000000000003</v>
      </c>
      <c r="L1372" s="150"/>
      <c r="M1372" s="150"/>
      <c r="N1372" s="150"/>
      <c r="O1372" s="150"/>
      <c r="P1372" s="150"/>
      <c r="Q1372" s="150"/>
      <c r="R1372" s="150"/>
      <c r="S1372" s="150"/>
      <c r="T1372" s="150"/>
      <c r="U1372" s="150"/>
      <c r="V1372" s="150"/>
      <c r="W1372" s="150"/>
      <c r="X1372" s="150"/>
      <c r="Y1372" s="150"/>
    </row>
    <row r="1373" spans="1:25" s="31" customFormat="1" ht="16.5" customHeight="1" x14ac:dyDescent="0.2">
      <c r="A1373" s="409" t="s">
        <v>676</v>
      </c>
      <c r="B1373" s="410"/>
      <c r="C1373" s="416"/>
      <c r="D1373" s="148">
        <v>2</v>
      </c>
      <c r="E1373" s="148">
        <v>0.7</v>
      </c>
      <c r="F1373" s="148">
        <v>2.1</v>
      </c>
      <c r="G1373" s="148">
        <v>3</v>
      </c>
      <c r="H1373" s="148">
        <v>7</v>
      </c>
      <c r="I1373" s="148"/>
      <c r="J1373" s="170">
        <f t="shared" si="83"/>
        <v>61.74</v>
      </c>
      <c r="L1373" s="150"/>
      <c r="M1373" s="150"/>
      <c r="N1373" s="150"/>
      <c r="O1373" s="150"/>
      <c r="P1373" s="150"/>
      <c r="Q1373" s="150"/>
      <c r="R1373" s="150"/>
      <c r="S1373" s="150"/>
      <c r="T1373" s="150"/>
      <c r="U1373" s="150"/>
      <c r="V1373" s="150"/>
      <c r="W1373" s="150"/>
      <c r="X1373" s="150"/>
      <c r="Y1373" s="150"/>
    </row>
    <row r="1374" spans="1:25" s="31" customFormat="1" ht="16.5" customHeight="1" x14ac:dyDescent="0.2">
      <c r="A1374" s="411"/>
      <c r="B1374" s="412"/>
      <c r="C1374" s="415"/>
      <c r="D1374" s="148">
        <v>2</v>
      </c>
      <c r="E1374" s="148">
        <v>0.8</v>
      </c>
      <c r="F1374" s="148">
        <v>2.1</v>
      </c>
      <c r="G1374" s="148">
        <v>1</v>
      </c>
      <c r="H1374" s="148">
        <v>7</v>
      </c>
      <c r="I1374" s="148"/>
      <c r="J1374" s="170">
        <f t="shared" si="83"/>
        <v>23.520000000000003</v>
      </c>
      <c r="L1374" s="150"/>
      <c r="M1374" s="150"/>
      <c r="N1374" s="150"/>
      <c r="O1374" s="150"/>
      <c r="P1374" s="150"/>
      <c r="Q1374" s="150"/>
      <c r="R1374" s="150"/>
      <c r="S1374" s="150"/>
      <c r="T1374" s="150"/>
      <c r="U1374" s="150"/>
      <c r="V1374" s="150"/>
      <c r="W1374" s="150"/>
      <c r="X1374" s="150"/>
      <c r="Y1374" s="150"/>
    </row>
    <row r="1375" spans="1:25" s="31" customFormat="1" ht="16.5" customHeight="1" x14ac:dyDescent="0.2">
      <c r="A1375" s="409" t="s">
        <v>677</v>
      </c>
      <c r="B1375" s="410"/>
      <c r="C1375" s="416"/>
      <c r="D1375" s="148">
        <v>2</v>
      </c>
      <c r="E1375" s="148">
        <v>0.7</v>
      </c>
      <c r="F1375" s="148">
        <v>2.1</v>
      </c>
      <c r="G1375" s="148">
        <v>3</v>
      </c>
      <c r="H1375" s="148">
        <v>7</v>
      </c>
      <c r="I1375" s="148"/>
      <c r="J1375" s="170">
        <f t="shared" si="83"/>
        <v>61.74</v>
      </c>
      <c r="L1375" s="150"/>
      <c r="M1375" s="150"/>
      <c r="N1375" s="150"/>
      <c r="O1375" s="150"/>
      <c r="P1375" s="150"/>
      <c r="Q1375" s="150"/>
      <c r="R1375" s="150"/>
      <c r="S1375" s="150"/>
      <c r="T1375" s="150"/>
      <c r="U1375" s="150"/>
      <c r="V1375" s="150"/>
      <c r="W1375" s="150"/>
      <c r="X1375" s="150"/>
      <c r="Y1375" s="150"/>
    </row>
    <row r="1376" spans="1:25" s="31" customFormat="1" ht="16.5" customHeight="1" x14ac:dyDescent="0.2">
      <c r="A1376" s="411"/>
      <c r="B1376" s="412"/>
      <c r="C1376" s="415"/>
      <c r="D1376" s="148">
        <v>2</v>
      </c>
      <c r="E1376" s="148">
        <v>0.8</v>
      </c>
      <c r="F1376" s="148">
        <v>2.1</v>
      </c>
      <c r="G1376" s="148">
        <v>1</v>
      </c>
      <c r="H1376" s="148">
        <v>7</v>
      </c>
      <c r="I1376" s="148"/>
      <c r="J1376" s="170">
        <f t="shared" si="83"/>
        <v>23.520000000000003</v>
      </c>
      <c r="L1376" s="150"/>
      <c r="M1376" s="150"/>
      <c r="N1376" s="150"/>
      <c r="O1376" s="150"/>
      <c r="P1376" s="150"/>
      <c r="Q1376" s="150"/>
      <c r="R1376" s="150"/>
      <c r="S1376" s="150"/>
      <c r="T1376" s="150"/>
      <c r="U1376" s="150"/>
      <c r="V1376" s="150"/>
      <c r="W1376" s="150"/>
      <c r="X1376" s="150"/>
      <c r="Y1376" s="150"/>
    </row>
    <row r="1377" spans="1:25" s="31" customFormat="1" ht="16.5" customHeight="1" x14ac:dyDescent="0.2">
      <c r="A1377" s="409" t="s">
        <v>678</v>
      </c>
      <c r="B1377" s="410"/>
      <c r="C1377" s="416"/>
      <c r="D1377" s="148">
        <v>2</v>
      </c>
      <c r="E1377" s="148">
        <v>0.7</v>
      </c>
      <c r="F1377" s="148">
        <v>2.1</v>
      </c>
      <c r="G1377" s="148">
        <v>3</v>
      </c>
      <c r="H1377" s="148">
        <v>7</v>
      </c>
      <c r="I1377" s="148"/>
      <c r="J1377" s="170">
        <f t="shared" si="83"/>
        <v>61.74</v>
      </c>
      <c r="L1377" s="150"/>
      <c r="M1377" s="150"/>
      <c r="N1377" s="150"/>
      <c r="O1377" s="150"/>
      <c r="P1377" s="150"/>
      <c r="Q1377" s="150"/>
      <c r="R1377" s="150"/>
      <c r="S1377" s="150"/>
      <c r="T1377" s="150"/>
      <c r="U1377" s="150"/>
      <c r="V1377" s="150"/>
      <c r="W1377" s="150"/>
      <c r="X1377" s="150"/>
      <c r="Y1377" s="150"/>
    </row>
    <row r="1378" spans="1:25" s="31" customFormat="1" ht="16.5" customHeight="1" x14ac:dyDescent="0.2">
      <c r="A1378" s="411"/>
      <c r="B1378" s="412"/>
      <c r="C1378" s="415"/>
      <c r="D1378" s="148">
        <v>2</v>
      </c>
      <c r="E1378" s="148">
        <v>0.8</v>
      </c>
      <c r="F1378" s="148">
        <v>2.1</v>
      </c>
      <c r="G1378" s="148">
        <v>1</v>
      </c>
      <c r="H1378" s="148">
        <v>7</v>
      </c>
      <c r="I1378" s="148"/>
      <c r="J1378" s="170">
        <f t="shared" si="83"/>
        <v>23.520000000000003</v>
      </c>
      <c r="L1378" s="150"/>
      <c r="M1378" s="150"/>
      <c r="N1378" s="150"/>
      <c r="O1378" s="150"/>
      <c r="P1378" s="150"/>
      <c r="Q1378" s="150"/>
      <c r="R1378" s="150"/>
      <c r="S1378" s="150"/>
      <c r="T1378" s="150"/>
      <c r="U1378" s="150"/>
      <c r="V1378" s="150"/>
      <c r="W1378" s="150"/>
      <c r="X1378" s="150"/>
      <c r="Y1378" s="150"/>
    </row>
    <row r="1379" spans="1:25" s="31" customFormat="1" ht="16.5" customHeight="1" x14ac:dyDescent="0.2">
      <c r="A1379" s="409" t="s">
        <v>679</v>
      </c>
      <c r="B1379" s="410"/>
      <c r="C1379" s="416"/>
      <c r="D1379" s="148">
        <v>2</v>
      </c>
      <c r="E1379" s="148">
        <v>0.7</v>
      </c>
      <c r="F1379" s="148">
        <v>2.1</v>
      </c>
      <c r="G1379" s="148">
        <v>3</v>
      </c>
      <c r="H1379" s="148">
        <v>7</v>
      </c>
      <c r="I1379" s="148"/>
      <c r="J1379" s="170">
        <f t="shared" si="83"/>
        <v>61.74</v>
      </c>
      <c r="L1379" s="150"/>
      <c r="M1379" s="150"/>
      <c r="N1379" s="150"/>
      <c r="O1379" s="150"/>
      <c r="P1379" s="150"/>
      <c r="Q1379" s="150"/>
      <c r="R1379" s="150"/>
      <c r="S1379" s="150"/>
      <c r="T1379" s="150"/>
      <c r="U1379" s="150"/>
      <c r="V1379" s="150"/>
      <c r="W1379" s="150"/>
      <c r="X1379" s="150"/>
      <c r="Y1379" s="150"/>
    </row>
    <row r="1380" spans="1:25" s="31" customFormat="1" ht="16.5" customHeight="1" x14ac:dyDescent="0.2">
      <c r="A1380" s="411"/>
      <c r="B1380" s="412"/>
      <c r="C1380" s="415"/>
      <c r="D1380" s="148">
        <v>2</v>
      </c>
      <c r="E1380" s="148">
        <v>0.8</v>
      </c>
      <c r="F1380" s="148">
        <v>2.1</v>
      </c>
      <c r="G1380" s="148">
        <v>1</v>
      </c>
      <c r="H1380" s="148">
        <v>7</v>
      </c>
      <c r="I1380" s="148"/>
      <c r="J1380" s="170">
        <f t="shared" si="83"/>
        <v>23.520000000000003</v>
      </c>
      <c r="L1380" s="150"/>
      <c r="M1380" s="150"/>
      <c r="N1380" s="150"/>
      <c r="O1380" s="150"/>
      <c r="P1380" s="150"/>
      <c r="Q1380" s="150"/>
      <c r="R1380" s="150"/>
      <c r="S1380" s="150"/>
      <c r="T1380" s="150"/>
      <c r="U1380" s="150"/>
      <c r="V1380" s="150"/>
      <c r="W1380" s="150"/>
      <c r="X1380" s="150"/>
      <c r="Y1380" s="150"/>
    </row>
    <row r="1381" spans="1:25" s="31" customFormat="1" ht="16.5" customHeight="1" x14ac:dyDescent="0.2">
      <c r="A1381" s="409" t="s">
        <v>769</v>
      </c>
      <c r="B1381" s="410"/>
      <c r="C1381" s="416"/>
      <c r="D1381" s="148">
        <v>2</v>
      </c>
      <c r="E1381" s="148">
        <v>0.7</v>
      </c>
      <c r="F1381" s="148">
        <v>2.1</v>
      </c>
      <c r="G1381" s="148">
        <v>3</v>
      </c>
      <c r="H1381" s="148">
        <v>7</v>
      </c>
      <c r="I1381" s="148"/>
      <c r="J1381" s="170">
        <f t="shared" si="83"/>
        <v>61.74</v>
      </c>
      <c r="L1381" s="150"/>
      <c r="M1381" s="150"/>
      <c r="N1381" s="150"/>
      <c r="O1381" s="150"/>
      <c r="P1381" s="150"/>
      <c r="Q1381" s="150"/>
      <c r="R1381" s="150"/>
      <c r="S1381" s="150"/>
      <c r="T1381" s="150"/>
      <c r="U1381" s="150"/>
      <c r="V1381" s="150"/>
      <c r="W1381" s="150"/>
      <c r="X1381" s="150"/>
      <c r="Y1381" s="150"/>
    </row>
    <row r="1382" spans="1:25" s="31" customFormat="1" ht="16.5" customHeight="1" x14ac:dyDescent="0.2">
      <c r="A1382" s="411"/>
      <c r="B1382" s="412"/>
      <c r="C1382" s="415"/>
      <c r="D1382" s="148">
        <v>2</v>
      </c>
      <c r="E1382" s="148">
        <v>0.8</v>
      </c>
      <c r="F1382" s="148">
        <v>2.1</v>
      </c>
      <c r="G1382" s="148">
        <v>1</v>
      </c>
      <c r="H1382" s="148">
        <v>7</v>
      </c>
      <c r="I1382" s="148"/>
      <c r="J1382" s="170">
        <f t="shared" si="83"/>
        <v>23.520000000000003</v>
      </c>
      <c r="L1382" s="150"/>
      <c r="M1382" s="150"/>
      <c r="N1382" s="150"/>
      <c r="O1382" s="150"/>
      <c r="P1382" s="150"/>
      <c r="Q1382" s="150"/>
      <c r="R1382" s="150"/>
      <c r="S1382" s="150"/>
      <c r="T1382" s="150"/>
      <c r="U1382" s="150"/>
      <c r="V1382" s="150"/>
      <c r="W1382" s="150"/>
      <c r="X1382" s="150"/>
      <c r="Y1382" s="150"/>
    </row>
    <row r="1383" spans="1:25" s="31" customFormat="1" ht="16.5" customHeight="1" x14ac:dyDescent="0.2">
      <c r="A1383" s="409" t="s">
        <v>681</v>
      </c>
      <c r="B1383" s="410"/>
      <c r="C1383" s="416"/>
      <c r="D1383" s="148">
        <v>2</v>
      </c>
      <c r="E1383" s="148">
        <v>0.7</v>
      </c>
      <c r="F1383" s="148">
        <v>2.1</v>
      </c>
      <c r="G1383" s="148">
        <v>3</v>
      </c>
      <c r="H1383" s="148">
        <v>7</v>
      </c>
      <c r="I1383" s="148"/>
      <c r="J1383" s="170">
        <f t="shared" si="83"/>
        <v>61.74</v>
      </c>
      <c r="L1383" s="150"/>
      <c r="M1383" s="150"/>
      <c r="N1383" s="150"/>
      <c r="O1383" s="150"/>
      <c r="P1383" s="150"/>
      <c r="Q1383" s="150"/>
      <c r="R1383" s="150"/>
      <c r="S1383" s="150"/>
      <c r="T1383" s="150"/>
      <c r="U1383" s="150"/>
      <c r="V1383" s="150"/>
      <c r="W1383" s="150"/>
      <c r="X1383" s="150"/>
      <c r="Y1383" s="150"/>
    </row>
    <row r="1384" spans="1:25" s="31" customFormat="1" ht="16.5" customHeight="1" x14ac:dyDescent="0.2">
      <c r="A1384" s="411"/>
      <c r="B1384" s="412"/>
      <c r="C1384" s="415"/>
      <c r="D1384" s="148">
        <v>2</v>
      </c>
      <c r="E1384" s="148">
        <v>0.8</v>
      </c>
      <c r="F1384" s="148">
        <v>2.1</v>
      </c>
      <c r="G1384" s="148">
        <v>1</v>
      </c>
      <c r="H1384" s="148">
        <v>7</v>
      </c>
      <c r="I1384" s="148"/>
      <c r="J1384" s="170">
        <f t="shared" si="83"/>
        <v>23.520000000000003</v>
      </c>
      <c r="L1384" s="150"/>
      <c r="M1384" s="150"/>
      <c r="N1384" s="150"/>
      <c r="O1384" s="150"/>
      <c r="P1384" s="150"/>
      <c r="Q1384" s="150"/>
      <c r="R1384" s="150"/>
      <c r="S1384" s="150"/>
      <c r="T1384" s="150"/>
      <c r="U1384" s="150"/>
      <c r="V1384" s="150"/>
      <c r="W1384" s="150"/>
      <c r="X1384" s="150"/>
      <c r="Y1384" s="150"/>
    </row>
    <row r="1385" spans="1:25" s="31" customFormat="1" ht="16.5" customHeight="1" x14ac:dyDescent="0.2">
      <c r="A1385" s="409" t="s">
        <v>682</v>
      </c>
      <c r="B1385" s="410"/>
      <c r="C1385" s="416"/>
      <c r="D1385" s="148">
        <v>2</v>
      </c>
      <c r="E1385" s="148">
        <v>0.7</v>
      </c>
      <c r="F1385" s="148">
        <v>2.1</v>
      </c>
      <c r="G1385" s="148">
        <v>3</v>
      </c>
      <c r="H1385" s="148">
        <v>7</v>
      </c>
      <c r="I1385" s="148"/>
      <c r="J1385" s="170">
        <f t="shared" si="83"/>
        <v>61.74</v>
      </c>
      <c r="L1385" s="150"/>
      <c r="M1385" s="150"/>
      <c r="N1385" s="150"/>
      <c r="O1385" s="150"/>
      <c r="P1385" s="150"/>
      <c r="Q1385" s="150"/>
      <c r="R1385" s="150"/>
      <c r="S1385" s="150"/>
      <c r="T1385" s="150"/>
      <c r="U1385" s="150"/>
      <c r="V1385" s="150"/>
      <c r="W1385" s="150"/>
      <c r="X1385" s="150"/>
      <c r="Y1385" s="150"/>
    </row>
    <row r="1386" spans="1:25" s="31" customFormat="1" ht="16.5" customHeight="1" x14ac:dyDescent="0.2">
      <c r="A1386" s="411"/>
      <c r="B1386" s="412"/>
      <c r="C1386" s="415"/>
      <c r="D1386" s="148">
        <v>2</v>
      </c>
      <c r="E1386" s="148">
        <v>0.8</v>
      </c>
      <c r="F1386" s="148">
        <v>2.1</v>
      </c>
      <c r="G1386" s="148">
        <v>1</v>
      </c>
      <c r="H1386" s="148">
        <v>7</v>
      </c>
      <c r="I1386" s="148"/>
      <c r="J1386" s="170">
        <f t="shared" si="83"/>
        <v>23.520000000000003</v>
      </c>
      <c r="L1386" s="150"/>
      <c r="M1386" s="150"/>
      <c r="N1386" s="150"/>
      <c r="O1386" s="150"/>
      <c r="P1386" s="150"/>
      <c r="Q1386" s="150"/>
      <c r="R1386" s="150"/>
      <c r="S1386" s="150"/>
      <c r="T1386" s="150"/>
      <c r="U1386" s="150"/>
      <c r="V1386" s="150"/>
      <c r="W1386" s="150"/>
      <c r="X1386" s="150"/>
      <c r="Y1386" s="150"/>
    </row>
    <row r="1387" spans="1:25" s="31" customFormat="1" ht="16.5" customHeight="1" x14ac:dyDescent="0.2">
      <c r="A1387" s="409" t="s">
        <v>683</v>
      </c>
      <c r="B1387" s="410"/>
      <c r="C1387" s="416"/>
      <c r="D1387" s="148">
        <v>2</v>
      </c>
      <c r="E1387" s="148">
        <v>0.7</v>
      </c>
      <c r="F1387" s="148">
        <v>2.1</v>
      </c>
      <c r="G1387" s="148">
        <v>3</v>
      </c>
      <c r="H1387" s="148">
        <v>7</v>
      </c>
      <c r="I1387" s="148"/>
      <c r="J1387" s="170">
        <f t="shared" si="83"/>
        <v>61.74</v>
      </c>
      <c r="L1387" s="150"/>
      <c r="M1387" s="150"/>
      <c r="N1387" s="150"/>
      <c r="O1387" s="150"/>
      <c r="P1387" s="150"/>
      <c r="Q1387" s="150"/>
      <c r="R1387" s="150"/>
      <c r="S1387" s="150"/>
      <c r="T1387" s="150"/>
      <c r="U1387" s="150"/>
      <c r="V1387" s="150"/>
      <c r="W1387" s="150"/>
      <c r="X1387" s="150"/>
      <c r="Y1387" s="150"/>
    </row>
    <row r="1388" spans="1:25" s="31" customFormat="1" ht="16.5" customHeight="1" x14ac:dyDescent="0.2">
      <c r="A1388" s="411"/>
      <c r="B1388" s="412"/>
      <c r="C1388" s="415"/>
      <c r="D1388" s="148">
        <v>2</v>
      </c>
      <c r="E1388" s="148">
        <v>0.8</v>
      </c>
      <c r="F1388" s="148">
        <v>2.1</v>
      </c>
      <c r="G1388" s="148">
        <v>1</v>
      </c>
      <c r="H1388" s="148">
        <v>7</v>
      </c>
      <c r="I1388" s="148"/>
      <c r="J1388" s="170">
        <f t="shared" si="83"/>
        <v>23.520000000000003</v>
      </c>
      <c r="L1388" s="150"/>
      <c r="M1388" s="150"/>
      <c r="N1388" s="150"/>
      <c r="O1388" s="150"/>
      <c r="P1388" s="150"/>
      <c r="Q1388" s="150"/>
      <c r="R1388" s="150"/>
      <c r="S1388" s="150"/>
      <c r="T1388" s="150"/>
      <c r="U1388" s="150"/>
      <c r="V1388" s="150"/>
      <c r="W1388" s="150"/>
      <c r="X1388" s="150"/>
      <c r="Y1388" s="150"/>
    </row>
    <row r="1389" spans="1:25" s="31" customFormat="1" ht="16.5" customHeight="1" x14ac:dyDescent="0.2">
      <c r="A1389" s="409" t="s">
        <v>812</v>
      </c>
      <c r="B1389" s="410"/>
      <c r="C1389" s="416"/>
      <c r="D1389" s="148">
        <v>2</v>
      </c>
      <c r="E1389" s="148">
        <v>0.7</v>
      </c>
      <c r="F1389" s="148">
        <v>2.1</v>
      </c>
      <c r="G1389" s="148">
        <v>3</v>
      </c>
      <c r="H1389" s="148">
        <v>7</v>
      </c>
      <c r="I1389" s="148"/>
      <c r="J1389" s="170">
        <f t="shared" si="83"/>
        <v>61.74</v>
      </c>
      <c r="L1389" s="150"/>
      <c r="M1389" s="150"/>
      <c r="N1389" s="150"/>
      <c r="O1389" s="150"/>
      <c r="P1389" s="150"/>
      <c r="Q1389" s="150"/>
      <c r="R1389" s="150"/>
      <c r="S1389" s="150"/>
      <c r="T1389" s="150"/>
      <c r="U1389" s="150"/>
      <c r="V1389" s="150"/>
      <c r="W1389" s="150"/>
      <c r="X1389" s="150"/>
      <c r="Y1389" s="150"/>
    </row>
    <row r="1390" spans="1:25" s="31" customFormat="1" ht="16.5" customHeight="1" x14ac:dyDescent="0.2">
      <c r="A1390" s="411"/>
      <c r="B1390" s="412"/>
      <c r="C1390" s="415"/>
      <c r="D1390" s="148">
        <v>2</v>
      </c>
      <c r="E1390" s="148">
        <v>0.8</v>
      </c>
      <c r="F1390" s="148">
        <v>2.1</v>
      </c>
      <c r="G1390" s="148">
        <v>1</v>
      </c>
      <c r="H1390" s="148">
        <v>7</v>
      </c>
      <c r="I1390" s="148"/>
      <c r="J1390" s="170">
        <f t="shared" si="83"/>
        <v>23.520000000000003</v>
      </c>
      <c r="L1390" s="150"/>
      <c r="M1390" s="150"/>
      <c r="N1390" s="150"/>
      <c r="O1390" s="150"/>
      <c r="P1390" s="150"/>
      <c r="Q1390" s="150"/>
      <c r="R1390" s="150"/>
      <c r="S1390" s="150"/>
      <c r="T1390" s="150"/>
      <c r="U1390" s="150"/>
      <c r="V1390" s="150"/>
      <c r="W1390" s="150"/>
      <c r="X1390" s="150"/>
      <c r="Y1390" s="150"/>
    </row>
    <row r="1391" spans="1:25" s="31" customFormat="1" ht="16.5" customHeight="1" x14ac:dyDescent="0.2">
      <c r="A1391" s="409" t="s">
        <v>813</v>
      </c>
      <c r="B1391" s="410"/>
      <c r="C1391" s="416"/>
      <c r="D1391" s="148">
        <v>2</v>
      </c>
      <c r="E1391" s="148">
        <v>0.7</v>
      </c>
      <c r="F1391" s="148">
        <v>2.1</v>
      </c>
      <c r="G1391" s="148">
        <v>3</v>
      </c>
      <c r="H1391" s="148">
        <v>7</v>
      </c>
      <c r="I1391" s="148"/>
      <c r="J1391" s="170">
        <f t="shared" si="83"/>
        <v>61.74</v>
      </c>
      <c r="L1391" s="150"/>
      <c r="M1391" s="150"/>
      <c r="N1391" s="150"/>
      <c r="O1391" s="150"/>
      <c r="P1391" s="150"/>
      <c r="Q1391" s="150"/>
      <c r="R1391" s="150"/>
      <c r="S1391" s="150"/>
      <c r="T1391" s="150"/>
      <c r="U1391" s="150"/>
      <c r="V1391" s="150"/>
      <c r="W1391" s="150"/>
      <c r="X1391" s="150"/>
      <c r="Y1391" s="150"/>
    </row>
    <row r="1392" spans="1:25" s="31" customFormat="1" ht="16.5" customHeight="1" x14ac:dyDescent="0.2">
      <c r="A1392" s="411"/>
      <c r="B1392" s="412"/>
      <c r="C1392" s="415"/>
      <c r="D1392" s="148">
        <v>2</v>
      </c>
      <c r="E1392" s="148">
        <v>0.8</v>
      </c>
      <c r="F1392" s="148">
        <v>2.1</v>
      </c>
      <c r="G1392" s="148">
        <v>1</v>
      </c>
      <c r="H1392" s="148">
        <v>7</v>
      </c>
      <c r="I1392" s="148"/>
      <c r="J1392" s="170">
        <f t="shared" si="83"/>
        <v>23.520000000000003</v>
      </c>
      <c r="L1392" s="150"/>
      <c r="M1392" s="150"/>
      <c r="N1392" s="150"/>
      <c r="O1392" s="150"/>
      <c r="P1392" s="150"/>
      <c r="Q1392" s="150"/>
      <c r="R1392" s="150"/>
      <c r="S1392" s="150"/>
      <c r="T1392" s="150"/>
      <c r="U1392" s="150"/>
      <c r="V1392" s="150"/>
      <c r="W1392" s="150"/>
      <c r="X1392" s="150"/>
      <c r="Y1392" s="150"/>
    </row>
    <row r="1393" spans="1:25" s="31" customFormat="1" ht="16.5" customHeight="1" x14ac:dyDescent="0.2">
      <c r="A1393" s="409" t="s">
        <v>687</v>
      </c>
      <c r="B1393" s="410"/>
      <c r="C1393" s="416"/>
      <c r="D1393" s="148">
        <v>2</v>
      </c>
      <c r="E1393" s="148">
        <v>0.7</v>
      </c>
      <c r="F1393" s="148">
        <v>2.1</v>
      </c>
      <c r="G1393" s="148">
        <v>3</v>
      </c>
      <c r="H1393" s="148">
        <v>7</v>
      </c>
      <c r="I1393" s="148"/>
      <c r="J1393" s="170">
        <f t="shared" si="83"/>
        <v>61.74</v>
      </c>
      <c r="L1393" s="150"/>
      <c r="M1393" s="150"/>
      <c r="N1393" s="150"/>
      <c r="O1393" s="150"/>
      <c r="P1393" s="150"/>
      <c r="Q1393" s="150"/>
      <c r="R1393" s="150"/>
      <c r="S1393" s="150"/>
      <c r="T1393" s="150"/>
      <c r="U1393" s="150"/>
      <c r="V1393" s="150"/>
      <c r="W1393" s="150"/>
      <c r="X1393" s="150"/>
      <c r="Y1393" s="150"/>
    </row>
    <row r="1394" spans="1:25" s="31" customFormat="1" ht="16.5" customHeight="1" x14ac:dyDescent="0.2">
      <c r="A1394" s="411"/>
      <c r="B1394" s="412"/>
      <c r="C1394" s="415"/>
      <c r="D1394" s="148">
        <v>2</v>
      </c>
      <c r="E1394" s="148">
        <v>0.8</v>
      </c>
      <c r="F1394" s="148">
        <v>2.1</v>
      </c>
      <c r="G1394" s="148">
        <v>1</v>
      </c>
      <c r="H1394" s="148">
        <v>7</v>
      </c>
      <c r="I1394" s="148"/>
      <c r="J1394" s="170">
        <f t="shared" si="83"/>
        <v>23.520000000000003</v>
      </c>
      <c r="L1394" s="150"/>
      <c r="M1394" s="150"/>
      <c r="N1394" s="150"/>
      <c r="O1394" s="150"/>
      <c r="P1394" s="150"/>
      <c r="Q1394" s="150"/>
      <c r="R1394" s="150"/>
      <c r="S1394" s="150"/>
      <c r="T1394" s="150"/>
      <c r="U1394" s="150"/>
      <c r="V1394" s="150"/>
      <c r="W1394" s="150"/>
      <c r="X1394" s="150"/>
      <c r="Y1394" s="150"/>
    </row>
    <row r="1395" spans="1:25" ht="16.5" customHeight="1" x14ac:dyDescent="0.2">
      <c r="A1395" s="342" t="str">
        <f>"TOTAL - "&amp;'Planilha orçamentária'!F95</f>
        <v>TOTAL - M2</v>
      </c>
      <c r="B1395" s="342"/>
      <c r="C1395" s="342"/>
      <c r="D1395" s="342"/>
      <c r="E1395" s="342"/>
      <c r="F1395" s="342"/>
      <c r="G1395" s="342"/>
      <c r="H1395" s="342"/>
      <c r="I1395" s="342"/>
      <c r="J1395" s="149">
        <f>SUM(J1364:J1394)</f>
        <v>1372.98</v>
      </c>
      <c r="K1395" s="10"/>
      <c r="L1395" s="10"/>
      <c r="M1395" s="10"/>
      <c r="N1395" s="10"/>
      <c r="O1395" s="10"/>
      <c r="P1395" s="10"/>
      <c r="Q1395" s="10"/>
      <c r="R1395" s="10"/>
      <c r="S1395" s="10"/>
      <c r="T1395" s="10"/>
      <c r="U1395" s="10"/>
      <c r="V1395" s="10"/>
      <c r="W1395" s="10"/>
      <c r="X1395" s="10"/>
      <c r="Y1395" s="10"/>
    </row>
    <row r="1396" spans="1:25" ht="16.5" customHeight="1" x14ac:dyDescent="0.2">
      <c r="A1396" s="184" t="str">
        <f>'Planilha orçamentária'!A96</f>
        <v>12.5</v>
      </c>
      <c r="B1396" s="343" t="str">
        <f>'Planilha orçamentária'!D96</f>
        <v>Pintura esmalte em esquadrias de ferro, duas (2) demãos, inclusive uma (1) demão de fundo anticorrosivo</v>
      </c>
      <c r="C1396" s="344"/>
      <c r="D1396" s="344"/>
      <c r="E1396" s="344"/>
      <c r="F1396" s="344"/>
      <c r="G1396" s="344"/>
      <c r="H1396" s="344"/>
      <c r="I1396" s="344"/>
      <c r="J1396" s="344"/>
      <c r="K1396" s="10"/>
      <c r="L1396" s="10"/>
      <c r="M1396" s="10"/>
      <c r="N1396" s="10"/>
      <c r="O1396" s="10"/>
      <c r="P1396" s="10"/>
      <c r="Q1396" s="10"/>
      <c r="R1396" s="10"/>
      <c r="S1396" s="10"/>
      <c r="T1396" s="10"/>
      <c r="U1396" s="10"/>
      <c r="V1396" s="10"/>
      <c r="W1396" s="10"/>
      <c r="X1396" s="10"/>
      <c r="Y1396" s="10"/>
    </row>
    <row r="1397" spans="1:25" ht="25.5" customHeight="1" x14ac:dyDescent="0.2">
      <c r="A1397" s="327" t="s">
        <v>120</v>
      </c>
      <c r="B1397" s="328"/>
      <c r="C1397" s="328"/>
      <c r="D1397" s="182" t="s">
        <v>128</v>
      </c>
      <c r="E1397" s="182" t="s">
        <v>128</v>
      </c>
      <c r="F1397" s="181" t="s">
        <v>123</v>
      </c>
      <c r="G1397" s="181" t="s">
        <v>491</v>
      </c>
      <c r="H1397" s="181" t="s">
        <v>489</v>
      </c>
      <c r="I1397" s="182"/>
      <c r="J1397" s="182" t="s">
        <v>113</v>
      </c>
      <c r="K1397" s="10"/>
      <c r="L1397" s="10"/>
      <c r="M1397" s="10"/>
      <c r="N1397" s="10"/>
      <c r="O1397" s="10"/>
      <c r="P1397" s="10"/>
      <c r="Q1397" s="10"/>
      <c r="R1397" s="10"/>
      <c r="S1397" s="10"/>
      <c r="T1397" s="10"/>
      <c r="U1397" s="10"/>
      <c r="V1397" s="10"/>
      <c r="W1397" s="10"/>
      <c r="X1397" s="10"/>
      <c r="Y1397" s="10"/>
    </row>
    <row r="1398" spans="1:25" ht="16.5" customHeight="1" x14ac:dyDescent="0.2">
      <c r="A1398" s="432" t="s">
        <v>671</v>
      </c>
      <c r="B1398" s="432"/>
      <c r="C1398" s="432"/>
      <c r="D1398" s="148">
        <v>1.2</v>
      </c>
      <c r="E1398" s="148">
        <v>1</v>
      </c>
      <c r="F1398" s="148">
        <v>1.2</v>
      </c>
      <c r="G1398" s="148">
        <v>3</v>
      </c>
      <c r="H1398" s="148">
        <v>7</v>
      </c>
      <c r="I1398" s="148"/>
      <c r="J1398" s="170">
        <f t="shared" ref="J1398:J1448" si="84">PRODUCT(D1398:H1398)-I1398</f>
        <v>30.240000000000002</v>
      </c>
      <c r="L1398" s="10"/>
      <c r="M1398" s="10"/>
      <c r="N1398" s="10"/>
      <c r="O1398" s="10"/>
      <c r="P1398" s="10"/>
      <c r="Q1398" s="10"/>
      <c r="R1398" s="10"/>
      <c r="S1398" s="10"/>
      <c r="T1398" s="10"/>
      <c r="U1398" s="10"/>
      <c r="V1398" s="10"/>
      <c r="W1398" s="10"/>
      <c r="X1398" s="10"/>
      <c r="Y1398" s="10"/>
    </row>
    <row r="1399" spans="1:25" ht="16.5" customHeight="1" x14ac:dyDescent="0.2">
      <c r="A1399" s="432"/>
      <c r="B1399" s="432"/>
      <c r="C1399" s="432"/>
      <c r="D1399" s="148">
        <v>1.8</v>
      </c>
      <c r="E1399" s="148">
        <v>1</v>
      </c>
      <c r="F1399" s="148">
        <v>1.2</v>
      </c>
      <c r="G1399" s="148">
        <v>1</v>
      </c>
      <c r="H1399" s="148">
        <v>7</v>
      </c>
      <c r="I1399" s="148"/>
      <c r="J1399" s="170">
        <f t="shared" si="84"/>
        <v>15.120000000000001</v>
      </c>
      <c r="L1399" s="10"/>
      <c r="M1399" s="10"/>
      <c r="N1399" s="10"/>
      <c r="O1399" s="10"/>
      <c r="P1399" s="10"/>
      <c r="Q1399" s="10"/>
      <c r="R1399" s="10"/>
      <c r="S1399" s="10"/>
      <c r="T1399" s="10"/>
      <c r="U1399" s="10"/>
      <c r="V1399" s="10"/>
      <c r="W1399" s="10"/>
      <c r="X1399" s="10"/>
      <c r="Y1399" s="10"/>
    </row>
    <row r="1400" spans="1:25" ht="16.5" customHeight="1" x14ac:dyDescent="0.2">
      <c r="A1400" s="432"/>
      <c r="B1400" s="432"/>
      <c r="C1400" s="432"/>
      <c r="D1400" s="148">
        <v>1.2</v>
      </c>
      <c r="E1400" s="148">
        <v>1</v>
      </c>
      <c r="F1400" s="148">
        <v>0.6</v>
      </c>
      <c r="G1400" s="148">
        <v>1</v>
      </c>
      <c r="H1400" s="148">
        <v>7</v>
      </c>
      <c r="I1400" s="148"/>
      <c r="J1400" s="170">
        <f t="shared" si="84"/>
        <v>5.04</v>
      </c>
      <c r="L1400" s="10"/>
      <c r="M1400" s="10"/>
      <c r="N1400" s="10"/>
      <c r="O1400" s="10"/>
      <c r="P1400" s="10"/>
      <c r="Q1400" s="10"/>
      <c r="R1400" s="10"/>
      <c r="S1400" s="10"/>
      <c r="T1400" s="10"/>
      <c r="U1400" s="10"/>
      <c r="V1400" s="10"/>
      <c r="W1400" s="10"/>
      <c r="X1400" s="10"/>
      <c r="Y1400" s="10"/>
    </row>
    <row r="1401" spans="1:25" ht="16.5" customHeight="1" x14ac:dyDescent="0.2">
      <c r="A1401" s="432" t="s">
        <v>672</v>
      </c>
      <c r="B1401" s="432"/>
      <c r="C1401" s="432"/>
      <c r="D1401" s="148">
        <v>1.2</v>
      </c>
      <c r="E1401" s="148">
        <v>1</v>
      </c>
      <c r="F1401" s="148">
        <v>1.2</v>
      </c>
      <c r="G1401" s="148">
        <v>3</v>
      </c>
      <c r="H1401" s="148">
        <v>7</v>
      </c>
      <c r="I1401" s="148"/>
      <c r="J1401" s="170">
        <f t="shared" si="84"/>
        <v>30.240000000000002</v>
      </c>
      <c r="L1401" s="10"/>
      <c r="M1401" s="10"/>
      <c r="N1401" s="10"/>
      <c r="O1401" s="10"/>
      <c r="P1401" s="10"/>
      <c r="Q1401" s="10"/>
      <c r="R1401" s="10"/>
      <c r="S1401" s="10"/>
      <c r="T1401" s="10"/>
      <c r="U1401" s="10"/>
      <c r="V1401" s="10"/>
      <c r="W1401" s="10"/>
      <c r="X1401" s="10"/>
      <c r="Y1401" s="10"/>
    </row>
    <row r="1402" spans="1:25" ht="16.5" customHeight="1" x14ac:dyDescent="0.2">
      <c r="A1402" s="432"/>
      <c r="B1402" s="432"/>
      <c r="C1402" s="432"/>
      <c r="D1402" s="148">
        <v>1.8</v>
      </c>
      <c r="E1402" s="148">
        <v>1</v>
      </c>
      <c r="F1402" s="148">
        <v>1.2</v>
      </c>
      <c r="G1402" s="148">
        <v>1</v>
      </c>
      <c r="H1402" s="148">
        <v>7</v>
      </c>
      <c r="I1402" s="148"/>
      <c r="J1402" s="170">
        <f t="shared" si="84"/>
        <v>15.120000000000001</v>
      </c>
      <c r="L1402" s="10"/>
      <c r="M1402" s="10"/>
      <c r="N1402" s="10"/>
      <c r="O1402" s="10"/>
      <c r="P1402" s="10"/>
      <c r="Q1402" s="10"/>
      <c r="R1402" s="10"/>
      <c r="S1402" s="10"/>
      <c r="T1402" s="10"/>
      <c r="U1402" s="10"/>
      <c r="V1402" s="10"/>
      <c r="W1402" s="10"/>
      <c r="X1402" s="10"/>
      <c r="Y1402" s="10"/>
    </row>
    <row r="1403" spans="1:25" ht="16.5" customHeight="1" x14ac:dyDescent="0.2">
      <c r="A1403" s="432"/>
      <c r="B1403" s="432"/>
      <c r="C1403" s="432"/>
      <c r="D1403" s="148">
        <v>1.2</v>
      </c>
      <c r="E1403" s="148">
        <v>1</v>
      </c>
      <c r="F1403" s="148">
        <v>0.6</v>
      </c>
      <c r="G1403" s="148">
        <v>1</v>
      </c>
      <c r="H1403" s="148">
        <v>7</v>
      </c>
      <c r="I1403" s="148"/>
      <c r="J1403" s="170">
        <f t="shared" si="84"/>
        <v>5.04</v>
      </c>
      <c r="L1403" s="10"/>
      <c r="M1403" s="10"/>
      <c r="N1403" s="10"/>
      <c r="O1403" s="10"/>
      <c r="P1403" s="10"/>
      <c r="Q1403" s="10"/>
      <c r="R1403" s="10"/>
      <c r="S1403" s="10"/>
      <c r="T1403" s="10"/>
      <c r="U1403" s="10"/>
      <c r="V1403" s="10"/>
      <c r="W1403" s="10"/>
      <c r="X1403" s="10"/>
      <c r="Y1403" s="10"/>
    </row>
    <row r="1404" spans="1:25" ht="16.5" customHeight="1" x14ac:dyDescent="0.2">
      <c r="A1404" s="432" t="s">
        <v>673</v>
      </c>
      <c r="B1404" s="432"/>
      <c r="C1404" s="432"/>
      <c r="D1404" s="148">
        <v>1.2</v>
      </c>
      <c r="E1404" s="148">
        <v>1</v>
      </c>
      <c r="F1404" s="148">
        <v>1.2</v>
      </c>
      <c r="G1404" s="148">
        <v>3</v>
      </c>
      <c r="H1404" s="148">
        <v>7</v>
      </c>
      <c r="I1404" s="148"/>
      <c r="J1404" s="170">
        <f t="shared" si="84"/>
        <v>30.240000000000002</v>
      </c>
      <c r="L1404" s="10"/>
      <c r="M1404" s="10"/>
      <c r="N1404" s="10"/>
      <c r="O1404" s="10"/>
      <c r="P1404" s="10"/>
      <c r="Q1404" s="10"/>
      <c r="R1404" s="10"/>
      <c r="S1404" s="10"/>
      <c r="T1404" s="10"/>
      <c r="U1404" s="10"/>
      <c r="V1404" s="10"/>
      <c r="W1404" s="10"/>
      <c r="X1404" s="10"/>
      <c r="Y1404" s="10"/>
    </row>
    <row r="1405" spans="1:25" ht="16.5" customHeight="1" x14ac:dyDescent="0.2">
      <c r="A1405" s="432"/>
      <c r="B1405" s="432"/>
      <c r="C1405" s="432"/>
      <c r="D1405" s="148">
        <v>1.8</v>
      </c>
      <c r="E1405" s="148">
        <v>1</v>
      </c>
      <c r="F1405" s="148">
        <v>1.2</v>
      </c>
      <c r="G1405" s="148">
        <v>1</v>
      </c>
      <c r="H1405" s="148">
        <v>7</v>
      </c>
      <c r="I1405" s="148"/>
      <c r="J1405" s="170">
        <f t="shared" si="84"/>
        <v>15.120000000000001</v>
      </c>
      <c r="L1405" s="10"/>
      <c r="M1405" s="10"/>
      <c r="N1405" s="10"/>
      <c r="O1405" s="10"/>
      <c r="P1405" s="10"/>
      <c r="Q1405" s="10"/>
      <c r="R1405" s="10"/>
      <c r="S1405" s="10"/>
      <c r="T1405" s="10"/>
      <c r="U1405" s="10"/>
      <c r="V1405" s="10"/>
      <c r="W1405" s="10"/>
      <c r="X1405" s="10"/>
      <c r="Y1405" s="10"/>
    </row>
    <row r="1406" spans="1:25" ht="16.5" customHeight="1" x14ac:dyDescent="0.2">
      <c r="A1406" s="432"/>
      <c r="B1406" s="432"/>
      <c r="C1406" s="432"/>
      <c r="D1406" s="148">
        <v>1.2</v>
      </c>
      <c r="E1406" s="148">
        <v>1</v>
      </c>
      <c r="F1406" s="148">
        <v>0.6</v>
      </c>
      <c r="G1406" s="148">
        <v>1</v>
      </c>
      <c r="H1406" s="148">
        <v>7</v>
      </c>
      <c r="I1406" s="148"/>
      <c r="J1406" s="170">
        <f t="shared" si="84"/>
        <v>5.04</v>
      </c>
      <c r="L1406" s="10"/>
      <c r="M1406" s="10"/>
      <c r="N1406" s="10"/>
      <c r="O1406" s="10"/>
      <c r="P1406" s="10"/>
      <c r="Q1406" s="10"/>
      <c r="R1406" s="10"/>
      <c r="S1406" s="10"/>
      <c r="T1406" s="10"/>
      <c r="U1406" s="10"/>
      <c r="V1406" s="10"/>
      <c r="W1406" s="10"/>
      <c r="X1406" s="10"/>
      <c r="Y1406" s="10"/>
    </row>
    <row r="1407" spans="1:25" ht="16.5" customHeight="1" x14ac:dyDescent="0.2">
      <c r="A1407" s="432" t="s">
        <v>674</v>
      </c>
      <c r="B1407" s="432"/>
      <c r="C1407" s="432"/>
      <c r="D1407" s="148">
        <v>1.2</v>
      </c>
      <c r="E1407" s="148">
        <v>1</v>
      </c>
      <c r="F1407" s="148">
        <v>1.2</v>
      </c>
      <c r="G1407" s="148">
        <v>3</v>
      </c>
      <c r="H1407" s="148">
        <v>7</v>
      </c>
      <c r="I1407" s="148"/>
      <c r="J1407" s="170">
        <f t="shared" si="84"/>
        <v>30.240000000000002</v>
      </c>
      <c r="L1407" s="10"/>
      <c r="M1407" s="10"/>
      <c r="N1407" s="10"/>
      <c r="O1407" s="10"/>
      <c r="P1407" s="10"/>
      <c r="Q1407" s="10"/>
      <c r="R1407" s="10"/>
      <c r="S1407" s="10"/>
      <c r="T1407" s="10"/>
      <c r="U1407" s="10"/>
      <c r="V1407" s="10"/>
      <c r="W1407" s="10"/>
      <c r="X1407" s="10"/>
      <c r="Y1407" s="10"/>
    </row>
    <row r="1408" spans="1:25" ht="16.5" customHeight="1" x14ac:dyDescent="0.2">
      <c r="A1408" s="432"/>
      <c r="B1408" s="432"/>
      <c r="C1408" s="432"/>
      <c r="D1408" s="148">
        <v>1.8</v>
      </c>
      <c r="E1408" s="148">
        <v>1</v>
      </c>
      <c r="F1408" s="148">
        <v>1.2</v>
      </c>
      <c r="G1408" s="148">
        <v>1</v>
      </c>
      <c r="H1408" s="148">
        <v>7</v>
      </c>
      <c r="I1408" s="148"/>
      <c r="J1408" s="170">
        <f t="shared" si="84"/>
        <v>15.120000000000001</v>
      </c>
      <c r="L1408" s="10"/>
      <c r="M1408" s="10"/>
      <c r="N1408" s="10"/>
      <c r="O1408" s="10"/>
      <c r="P1408" s="10"/>
      <c r="Q1408" s="10"/>
      <c r="R1408" s="10"/>
      <c r="S1408" s="10"/>
      <c r="T1408" s="10"/>
      <c r="U1408" s="10"/>
      <c r="V1408" s="10"/>
      <c r="W1408" s="10"/>
      <c r="X1408" s="10"/>
      <c r="Y1408" s="10"/>
    </row>
    <row r="1409" spans="1:25" ht="16.5" customHeight="1" x14ac:dyDescent="0.2">
      <c r="A1409" s="432"/>
      <c r="B1409" s="432"/>
      <c r="C1409" s="432"/>
      <c r="D1409" s="148">
        <v>1.2</v>
      </c>
      <c r="E1409" s="148">
        <v>1</v>
      </c>
      <c r="F1409" s="148">
        <v>0.6</v>
      </c>
      <c r="G1409" s="148">
        <v>1</v>
      </c>
      <c r="H1409" s="148">
        <v>7</v>
      </c>
      <c r="I1409" s="148"/>
      <c r="J1409" s="170">
        <f t="shared" si="84"/>
        <v>5.04</v>
      </c>
      <c r="L1409" s="10"/>
      <c r="M1409" s="10"/>
      <c r="N1409" s="10"/>
      <c r="O1409" s="10"/>
      <c r="P1409" s="10"/>
      <c r="Q1409" s="10"/>
      <c r="R1409" s="10"/>
      <c r="S1409" s="10"/>
      <c r="T1409" s="10"/>
      <c r="U1409" s="10"/>
      <c r="V1409" s="10"/>
      <c r="W1409" s="10"/>
      <c r="X1409" s="10"/>
      <c r="Y1409" s="10"/>
    </row>
    <row r="1410" spans="1:25" ht="16.5" customHeight="1" x14ac:dyDescent="0.2">
      <c r="A1410" s="432" t="s">
        <v>811</v>
      </c>
      <c r="B1410" s="432"/>
      <c r="C1410" s="432"/>
      <c r="D1410" s="148">
        <v>1.2</v>
      </c>
      <c r="E1410" s="148">
        <v>1</v>
      </c>
      <c r="F1410" s="148">
        <v>1.2</v>
      </c>
      <c r="G1410" s="148">
        <v>3</v>
      </c>
      <c r="H1410" s="148">
        <v>7</v>
      </c>
      <c r="I1410" s="148"/>
      <c r="J1410" s="170">
        <f t="shared" si="84"/>
        <v>30.240000000000002</v>
      </c>
      <c r="L1410" s="10"/>
      <c r="M1410" s="10"/>
      <c r="N1410" s="10"/>
      <c r="O1410" s="10"/>
      <c r="P1410" s="10"/>
      <c r="Q1410" s="10"/>
      <c r="R1410" s="10"/>
      <c r="S1410" s="10"/>
      <c r="T1410" s="10"/>
      <c r="U1410" s="10"/>
      <c r="V1410" s="10"/>
      <c r="W1410" s="10"/>
      <c r="X1410" s="10"/>
      <c r="Y1410" s="10"/>
    </row>
    <row r="1411" spans="1:25" ht="16.5" customHeight="1" x14ac:dyDescent="0.2">
      <c r="A1411" s="432"/>
      <c r="B1411" s="432"/>
      <c r="C1411" s="432"/>
      <c r="D1411" s="148">
        <v>1.8</v>
      </c>
      <c r="E1411" s="148">
        <v>1</v>
      </c>
      <c r="F1411" s="148">
        <v>1.2</v>
      </c>
      <c r="G1411" s="148">
        <v>1</v>
      </c>
      <c r="H1411" s="148">
        <v>7</v>
      </c>
      <c r="I1411" s="148"/>
      <c r="J1411" s="170">
        <f t="shared" si="84"/>
        <v>15.120000000000001</v>
      </c>
      <c r="L1411" s="10"/>
      <c r="M1411" s="10"/>
      <c r="N1411" s="10"/>
      <c r="O1411" s="10"/>
      <c r="P1411" s="10"/>
      <c r="Q1411" s="10"/>
      <c r="R1411" s="10"/>
      <c r="S1411" s="10"/>
      <c r="T1411" s="10"/>
      <c r="U1411" s="10"/>
      <c r="V1411" s="10"/>
      <c r="W1411" s="10"/>
      <c r="X1411" s="10"/>
      <c r="Y1411" s="10"/>
    </row>
    <row r="1412" spans="1:25" ht="16.5" customHeight="1" x14ac:dyDescent="0.2">
      <c r="A1412" s="432"/>
      <c r="B1412" s="432"/>
      <c r="C1412" s="432"/>
      <c r="D1412" s="148">
        <v>1.2</v>
      </c>
      <c r="E1412" s="148">
        <v>1</v>
      </c>
      <c r="F1412" s="148">
        <v>0.6</v>
      </c>
      <c r="G1412" s="148">
        <v>1</v>
      </c>
      <c r="H1412" s="148">
        <v>7</v>
      </c>
      <c r="I1412" s="148"/>
      <c r="J1412" s="170">
        <f t="shared" si="84"/>
        <v>5.04</v>
      </c>
      <c r="L1412" s="10"/>
      <c r="M1412" s="10"/>
      <c r="N1412" s="10"/>
      <c r="O1412" s="10"/>
      <c r="P1412" s="10"/>
      <c r="Q1412" s="10"/>
      <c r="R1412" s="10"/>
      <c r="S1412" s="10"/>
      <c r="T1412" s="10"/>
      <c r="U1412" s="10"/>
      <c r="V1412" s="10"/>
      <c r="W1412" s="10"/>
      <c r="X1412" s="10"/>
      <c r="Y1412" s="10"/>
    </row>
    <row r="1413" spans="1:25" ht="16.5" customHeight="1" x14ac:dyDescent="0.2">
      <c r="A1413" s="432" t="s">
        <v>676</v>
      </c>
      <c r="B1413" s="432"/>
      <c r="C1413" s="432"/>
      <c r="D1413" s="148">
        <v>1.2</v>
      </c>
      <c r="E1413" s="148">
        <v>1</v>
      </c>
      <c r="F1413" s="148">
        <v>1.2</v>
      </c>
      <c r="G1413" s="148">
        <v>3</v>
      </c>
      <c r="H1413" s="148">
        <v>7</v>
      </c>
      <c r="I1413" s="148"/>
      <c r="J1413" s="170">
        <f t="shared" si="84"/>
        <v>30.240000000000002</v>
      </c>
      <c r="L1413" s="10"/>
      <c r="M1413" s="10"/>
      <c r="N1413" s="10"/>
      <c r="O1413" s="10"/>
      <c r="P1413" s="10"/>
      <c r="Q1413" s="10"/>
      <c r="R1413" s="10"/>
      <c r="S1413" s="10"/>
      <c r="T1413" s="10"/>
      <c r="U1413" s="10"/>
      <c r="V1413" s="10"/>
      <c r="W1413" s="10"/>
      <c r="X1413" s="10"/>
      <c r="Y1413" s="10"/>
    </row>
    <row r="1414" spans="1:25" ht="16.5" customHeight="1" x14ac:dyDescent="0.2">
      <c r="A1414" s="432"/>
      <c r="B1414" s="432"/>
      <c r="C1414" s="432"/>
      <c r="D1414" s="148">
        <v>1.8</v>
      </c>
      <c r="E1414" s="148">
        <v>1</v>
      </c>
      <c r="F1414" s="148">
        <v>1.2</v>
      </c>
      <c r="G1414" s="148">
        <v>1</v>
      </c>
      <c r="H1414" s="148">
        <v>7</v>
      </c>
      <c r="I1414" s="148"/>
      <c r="J1414" s="170">
        <f t="shared" si="84"/>
        <v>15.120000000000001</v>
      </c>
      <c r="L1414" s="10"/>
      <c r="M1414" s="10"/>
      <c r="N1414" s="10"/>
      <c r="O1414" s="10"/>
      <c r="P1414" s="10"/>
      <c r="Q1414" s="10"/>
      <c r="R1414" s="10"/>
      <c r="S1414" s="10"/>
      <c r="T1414" s="10"/>
      <c r="U1414" s="10"/>
      <c r="V1414" s="10"/>
      <c r="W1414" s="10"/>
      <c r="X1414" s="10"/>
      <c r="Y1414" s="10"/>
    </row>
    <row r="1415" spans="1:25" ht="16.5" customHeight="1" x14ac:dyDescent="0.2">
      <c r="A1415" s="432"/>
      <c r="B1415" s="432"/>
      <c r="C1415" s="432"/>
      <c r="D1415" s="148">
        <v>1.2</v>
      </c>
      <c r="E1415" s="148">
        <v>1</v>
      </c>
      <c r="F1415" s="148">
        <v>0.6</v>
      </c>
      <c r="G1415" s="148">
        <v>1</v>
      </c>
      <c r="H1415" s="148">
        <v>7</v>
      </c>
      <c r="I1415" s="148"/>
      <c r="J1415" s="170">
        <f t="shared" si="84"/>
        <v>5.04</v>
      </c>
      <c r="L1415" s="10"/>
      <c r="M1415" s="10"/>
      <c r="N1415" s="10"/>
      <c r="O1415" s="10"/>
      <c r="P1415" s="10"/>
      <c r="Q1415" s="10"/>
      <c r="R1415" s="10"/>
      <c r="S1415" s="10"/>
      <c r="T1415" s="10"/>
      <c r="U1415" s="10"/>
      <c r="V1415" s="10"/>
      <c r="W1415" s="10"/>
      <c r="X1415" s="10"/>
      <c r="Y1415" s="10"/>
    </row>
    <row r="1416" spans="1:25" ht="16.5" customHeight="1" x14ac:dyDescent="0.2">
      <c r="A1416" s="432" t="s">
        <v>677</v>
      </c>
      <c r="B1416" s="432"/>
      <c r="C1416" s="432"/>
      <c r="D1416" s="148">
        <v>1.2</v>
      </c>
      <c r="E1416" s="148">
        <v>1</v>
      </c>
      <c r="F1416" s="148">
        <v>1.2</v>
      </c>
      <c r="G1416" s="148">
        <v>3</v>
      </c>
      <c r="H1416" s="148">
        <v>7</v>
      </c>
      <c r="I1416" s="148"/>
      <c r="J1416" s="170">
        <f t="shared" si="84"/>
        <v>30.240000000000002</v>
      </c>
      <c r="L1416" s="10"/>
      <c r="M1416" s="10"/>
      <c r="N1416" s="10"/>
      <c r="O1416" s="10"/>
      <c r="P1416" s="10"/>
      <c r="Q1416" s="10"/>
      <c r="R1416" s="10"/>
      <c r="S1416" s="10"/>
      <c r="T1416" s="10"/>
      <c r="U1416" s="10"/>
      <c r="V1416" s="10"/>
      <c r="W1416" s="10"/>
      <c r="X1416" s="10"/>
      <c r="Y1416" s="10"/>
    </row>
    <row r="1417" spans="1:25" ht="16.5" customHeight="1" x14ac:dyDescent="0.2">
      <c r="A1417" s="432"/>
      <c r="B1417" s="432"/>
      <c r="C1417" s="432"/>
      <c r="D1417" s="148">
        <v>1.8</v>
      </c>
      <c r="E1417" s="148">
        <v>1</v>
      </c>
      <c r="F1417" s="148">
        <v>1.2</v>
      </c>
      <c r="G1417" s="148">
        <v>1</v>
      </c>
      <c r="H1417" s="148">
        <v>7</v>
      </c>
      <c r="I1417" s="148"/>
      <c r="J1417" s="170">
        <f t="shared" si="84"/>
        <v>15.120000000000001</v>
      </c>
      <c r="L1417" s="10"/>
      <c r="M1417" s="10"/>
      <c r="N1417" s="10"/>
      <c r="O1417" s="10"/>
      <c r="P1417" s="10"/>
      <c r="Q1417" s="10"/>
      <c r="R1417" s="10"/>
      <c r="S1417" s="10"/>
      <c r="T1417" s="10"/>
      <c r="U1417" s="10"/>
      <c r="V1417" s="10"/>
      <c r="W1417" s="10"/>
      <c r="X1417" s="10"/>
      <c r="Y1417" s="10"/>
    </row>
    <row r="1418" spans="1:25" ht="16.5" customHeight="1" x14ac:dyDescent="0.2">
      <c r="A1418" s="432"/>
      <c r="B1418" s="432"/>
      <c r="C1418" s="432"/>
      <c r="D1418" s="148">
        <v>1.2</v>
      </c>
      <c r="E1418" s="148">
        <v>1</v>
      </c>
      <c r="F1418" s="148">
        <v>0.6</v>
      </c>
      <c r="G1418" s="148">
        <v>1</v>
      </c>
      <c r="H1418" s="148">
        <v>7</v>
      </c>
      <c r="I1418" s="148"/>
      <c r="J1418" s="170">
        <f t="shared" si="84"/>
        <v>5.04</v>
      </c>
      <c r="L1418" s="10"/>
      <c r="M1418" s="10"/>
      <c r="N1418" s="10"/>
      <c r="O1418" s="10"/>
      <c r="P1418" s="10"/>
      <c r="Q1418" s="10"/>
      <c r="R1418" s="10"/>
      <c r="S1418" s="10"/>
      <c r="T1418" s="10"/>
      <c r="U1418" s="10"/>
      <c r="V1418" s="10"/>
      <c r="W1418" s="10"/>
      <c r="X1418" s="10"/>
      <c r="Y1418" s="10"/>
    </row>
    <row r="1419" spans="1:25" ht="16.5" customHeight="1" x14ac:dyDescent="0.2">
      <c r="A1419" s="432" t="s">
        <v>678</v>
      </c>
      <c r="B1419" s="432"/>
      <c r="C1419" s="432"/>
      <c r="D1419" s="148">
        <v>1.2</v>
      </c>
      <c r="E1419" s="148">
        <v>1</v>
      </c>
      <c r="F1419" s="148">
        <v>1.2</v>
      </c>
      <c r="G1419" s="148">
        <v>3</v>
      </c>
      <c r="H1419" s="148">
        <v>7</v>
      </c>
      <c r="I1419" s="148"/>
      <c r="J1419" s="170">
        <f t="shared" si="84"/>
        <v>30.240000000000002</v>
      </c>
      <c r="L1419" s="10"/>
      <c r="M1419" s="10"/>
      <c r="N1419" s="10"/>
      <c r="O1419" s="10"/>
      <c r="P1419" s="10"/>
      <c r="Q1419" s="10"/>
      <c r="R1419" s="10"/>
      <c r="S1419" s="10"/>
      <c r="T1419" s="10"/>
      <c r="U1419" s="10"/>
      <c r="V1419" s="10"/>
      <c r="W1419" s="10"/>
      <c r="X1419" s="10"/>
      <c r="Y1419" s="10"/>
    </row>
    <row r="1420" spans="1:25" ht="16.5" customHeight="1" x14ac:dyDescent="0.2">
      <c r="A1420" s="432"/>
      <c r="B1420" s="432"/>
      <c r="C1420" s="432"/>
      <c r="D1420" s="148">
        <v>1.8</v>
      </c>
      <c r="E1420" s="148">
        <v>1</v>
      </c>
      <c r="F1420" s="148">
        <v>1.2</v>
      </c>
      <c r="G1420" s="148">
        <v>1</v>
      </c>
      <c r="H1420" s="148">
        <v>7</v>
      </c>
      <c r="I1420" s="148"/>
      <c r="J1420" s="170">
        <f t="shared" si="84"/>
        <v>15.120000000000001</v>
      </c>
      <c r="L1420" s="10"/>
      <c r="M1420" s="10"/>
      <c r="N1420" s="10"/>
      <c r="O1420" s="10"/>
      <c r="P1420" s="10"/>
      <c r="Q1420" s="10"/>
      <c r="R1420" s="10"/>
      <c r="S1420" s="10"/>
      <c r="T1420" s="10"/>
      <c r="U1420" s="10"/>
      <c r="V1420" s="10"/>
      <c r="W1420" s="10"/>
      <c r="X1420" s="10"/>
      <c r="Y1420" s="10"/>
    </row>
    <row r="1421" spans="1:25" ht="16.5" customHeight="1" x14ac:dyDescent="0.2">
      <c r="A1421" s="432"/>
      <c r="B1421" s="432"/>
      <c r="C1421" s="432"/>
      <c r="D1421" s="148">
        <v>1.2</v>
      </c>
      <c r="E1421" s="148">
        <v>1</v>
      </c>
      <c r="F1421" s="148">
        <v>0.6</v>
      </c>
      <c r="G1421" s="148">
        <v>1</v>
      </c>
      <c r="H1421" s="148">
        <v>7</v>
      </c>
      <c r="I1421" s="148"/>
      <c r="J1421" s="170">
        <f t="shared" si="84"/>
        <v>5.04</v>
      </c>
      <c r="L1421" s="10"/>
      <c r="M1421" s="10"/>
      <c r="N1421" s="10"/>
      <c r="O1421" s="10"/>
      <c r="P1421" s="10"/>
      <c r="Q1421" s="10"/>
      <c r="R1421" s="10"/>
      <c r="S1421" s="10"/>
      <c r="T1421" s="10"/>
      <c r="U1421" s="10"/>
      <c r="V1421" s="10"/>
      <c r="W1421" s="10"/>
      <c r="X1421" s="10"/>
      <c r="Y1421" s="10"/>
    </row>
    <row r="1422" spans="1:25" ht="16.5" customHeight="1" x14ac:dyDescent="0.2">
      <c r="A1422" s="432" t="s">
        <v>679</v>
      </c>
      <c r="B1422" s="432"/>
      <c r="C1422" s="432"/>
      <c r="D1422" s="148">
        <v>1.2</v>
      </c>
      <c r="E1422" s="148">
        <v>1</v>
      </c>
      <c r="F1422" s="148">
        <v>1.2</v>
      </c>
      <c r="G1422" s="148">
        <v>3</v>
      </c>
      <c r="H1422" s="148">
        <v>7</v>
      </c>
      <c r="I1422" s="148"/>
      <c r="J1422" s="170">
        <f t="shared" si="84"/>
        <v>30.240000000000002</v>
      </c>
      <c r="L1422" s="10"/>
      <c r="M1422" s="10"/>
      <c r="N1422" s="10"/>
      <c r="O1422" s="10"/>
      <c r="P1422" s="10"/>
      <c r="Q1422" s="10"/>
      <c r="R1422" s="10"/>
      <c r="S1422" s="10"/>
      <c r="T1422" s="10"/>
      <c r="U1422" s="10"/>
      <c r="V1422" s="10"/>
      <c r="W1422" s="10"/>
      <c r="X1422" s="10"/>
      <c r="Y1422" s="10"/>
    </row>
    <row r="1423" spans="1:25" ht="16.5" customHeight="1" x14ac:dyDescent="0.2">
      <c r="A1423" s="432"/>
      <c r="B1423" s="432"/>
      <c r="C1423" s="432"/>
      <c r="D1423" s="148">
        <v>1.8</v>
      </c>
      <c r="E1423" s="148">
        <v>1</v>
      </c>
      <c r="F1423" s="148">
        <v>1.2</v>
      </c>
      <c r="G1423" s="148">
        <v>1</v>
      </c>
      <c r="H1423" s="148">
        <v>7</v>
      </c>
      <c r="I1423" s="148"/>
      <c r="J1423" s="170">
        <f t="shared" si="84"/>
        <v>15.120000000000001</v>
      </c>
      <c r="L1423" s="10"/>
      <c r="M1423" s="10"/>
      <c r="N1423" s="10"/>
      <c r="O1423" s="10"/>
      <c r="P1423" s="10"/>
      <c r="Q1423" s="10"/>
      <c r="R1423" s="10"/>
      <c r="S1423" s="10"/>
      <c r="T1423" s="10"/>
      <c r="U1423" s="10"/>
      <c r="V1423" s="10"/>
      <c r="W1423" s="10"/>
      <c r="X1423" s="10"/>
      <c r="Y1423" s="10"/>
    </row>
    <row r="1424" spans="1:25" ht="16.5" customHeight="1" x14ac:dyDescent="0.2">
      <c r="A1424" s="432"/>
      <c r="B1424" s="432"/>
      <c r="C1424" s="432"/>
      <c r="D1424" s="148">
        <v>1.2</v>
      </c>
      <c r="E1424" s="148">
        <v>1</v>
      </c>
      <c r="F1424" s="148">
        <v>0.6</v>
      </c>
      <c r="G1424" s="148">
        <v>1</v>
      </c>
      <c r="H1424" s="148">
        <v>7</v>
      </c>
      <c r="I1424" s="148"/>
      <c r="J1424" s="170">
        <f t="shared" si="84"/>
        <v>5.04</v>
      </c>
      <c r="L1424" s="10"/>
      <c r="M1424" s="10"/>
      <c r="N1424" s="10"/>
      <c r="O1424" s="10"/>
      <c r="P1424" s="10"/>
      <c r="Q1424" s="10"/>
      <c r="R1424" s="10"/>
      <c r="S1424" s="10"/>
      <c r="T1424" s="10"/>
      <c r="U1424" s="10"/>
      <c r="V1424" s="10"/>
      <c r="W1424" s="10"/>
      <c r="X1424" s="10"/>
      <c r="Y1424" s="10"/>
    </row>
    <row r="1425" spans="1:25" ht="16.5" customHeight="1" x14ac:dyDescent="0.2">
      <c r="A1425" s="432" t="s">
        <v>769</v>
      </c>
      <c r="B1425" s="432"/>
      <c r="C1425" s="432"/>
      <c r="D1425" s="148">
        <v>1.2</v>
      </c>
      <c r="E1425" s="148">
        <v>1</v>
      </c>
      <c r="F1425" s="148">
        <v>1.2</v>
      </c>
      <c r="G1425" s="148">
        <v>3</v>
      </c>
      <c r="H1425" s="148">
        <v>7</v>
      </c>
      <c r="I1425" s="148"/>
      <c r="J1425" s="170">
        <f t="shared" si="84"/>
        <v>30.240000000000002</v>
      </c>
      <c r="L1425" s="10"/>
      <c r="M1425" s="10"/>
      <c r="N1425" s="10"/>
      <c r="O1425" s="10"/>
      <c r="P1425" s="10"/>
      <c r="Q1425" s="10"/>
      <c r="R1425" s="10"/>
      <c r="S1425" s="10"/>
      <c r="T1425" s="10"/>
      <c r="U1425" s="10"/>
      <c r="V1425" s="10"/>
      <c r="W1425" s="10"/>
      <c r="X1425" s="10"/>
      <c r="Y1425" s="10"/>
    </row>
    <row r="1426" spans="1:25" ht="16.5" customHeight="1" x14ac:dyDescent="0.2">
      <c r="A1426" s="432"/>
      <c r="B1426" s="432"/>
      <c r="C1426" s="432"/>
      <c r="D1426" s="148">
        <v>1.8</v>
      </c>
      <c r="E1426" s="148">
        <v>1</v>
      </c>
      <c r="F1426" s="148">
        <v>1.2</v>
      </c>
      <c r="G1426" s="148">
        <v>1</v>
      </c>
      <c r="H1426" s="148">
        <v>7</v>
      </c>
      <c r="I1426" s="148"/>
      <c r="J1426" s="170">
        <f t="shared" si="84"/>
        <v>15.120000000000001</v>
      </c>
      <c r="L1426" s="10"/>
      <c r="M1426" s="10"/>
      <c r="N1426" s="10"/>
      <c r="O1426" s="10"/>
      <c r="P1426" s="10"/>
      <c r="Q1426" s="10"/>
      <c r="R1426" s="10"/>
      <c r="S1426" s="10"/>
      <c r="T1426" s="10"/>
      <c r="U1426" s="10"/>
      <c r="V1426" s="10"/>
      <c r="W1426" s="10"/>
      <c r="X1426" s="10"/>
      <c r="Y1426" s="10"/>
    </row>
    <row r="1427" spans="1:25" ht="16.5" customHeight="1" x14ac:dyDescent="0.2">
      <c r="A1427" s="432"/>
      <c r="B1427" s="432"/>
      <c r="C1427" s="432"/>
      <c r="D1427" s="148">
        <v>1.2</v>
      </c>
      <c r="E1427" s="148">
        <v>1</v>
      </c>
      <c r="F1427" s="148">
        <v>0.6</v>
      </c>
      <c r="G1427" s="148">
        <v>1</v>
      </c>
      <c r="H1427" s="148">
        <v>7</v>
      </c>
      <c r="I1427" s="148"/>
      <c r="J1427" s="170">
        <f t="shared" si="84"/>
        <v>5.04</v>
      </c>
      <c r="L1427" s="10"/>
      <c r="M1427" s="10"/>
      <c r="N1427" s="10"/>
      <c r="O1427" s="10"/>
      <c r="P1427" s="10"/>
      <c r="Q1427" s="10"/>
      <c r="R1427" s="10"/>
      <c r="S1427" s="10"/>
      <c r="T1427" s="10"/>
      <c r="U1427" s="10"/>
      <c r="V1427" s="10"/>
      <c r="W1427" s="10"/>
      <c r="X1427" s="10"/>
      <c r="Y1427" s="10"/>
    </row>
    <row r="1428" spans="1:25" ht="16.5" customHeight="1" x14ac:dyDescent="0.2">
      <c r="A1428" s="432" t="s">
        <v>681</v>
      </c>
      <c r="B1428" s="432"/>
      <c r="C1428" s="432"/>
      <c r="D1428" s="148">
        <v>1.2</v>
      </c>
      <c r="E1428" s="148">
        <v>1</v>
      </c>
      <c r="F1428" s="148">
        <v>1.2</v>
      </c>
      <c r="G1428" s="148">
        <v>3</v>
      </c>
      <c r="H1428" s="148">
        <v>7</v>
      </c>
      <c r="I1428" s="148"/>
      <c r="J1428" s="170">
        <f t="shared" si="84"/>
        <v>30.240000000000002</v>
      </c>
      <c r="L1428" s="10"/>
      <c r="M1428" s="10"/>
      <c r="N1428" s="10"/>
      <c r="O1428" s="10"/>
      <c r="P1428" s="10"/>
      <c r="Q1428" s="10"/>
      <c r="R1428" s="10"/>
      <c r="S1428" s="10"/>
      <c r="T1428" s="10"/>
      <c r="U1428" s="10"/>
      <c r="V1428" s="10"/>
      <c r="W1428" s="10"/>
      <c r="X1428" s="10"/>
      <c r="Y1428" s="10"/>
    </row>
    <row r="1429" spans="1:25" ht="16.5" customHeight="1" x14ac:dyDescent="0.2">
      <c r="A1429" s="432"/>
      <c r="B1429" s="432"/>
      <c r="C1429" s="432"/>
      <c r="D1429" s="148">
        <v>1.8</v>
      </c>
      <c r="E1429" s="148">
        <v>1</v>
      </c>
      <c r="F1429" s="148">
        <v>1.2</v>
      </c>
      <c r="G1429" s="148">
        <v>1</v>
      </c>
      <c r="H1429" s="148">
        <v>7</v>
      </c>
      <c r="I1429" s="148"/>
      <c r="J1429" s="170">
        <f t="shared" si="84"/>
        <v>15.120000000000001</v>
      </c>
      <c r="L1429" s="10"/>
      <c r="M1429" s="10"/>
      <c r="N1429" s="10"/>
      <c r="O1429" s="10"/>
      <c r="P1429" s="10"/>
      <c r="Q1429" s="10"/>
      <c r="R1429" s="10"/>
      <c r="S1429" s="10"/>
      <c r="T1429" s="10"/>
      <c r="U1429" s="10"/>
      <c r="V1429" s="10"/>
      <c r="W1429" s="10"/>
      <c r="X1429" s="10"/>
      <c r="Y1429" s="10"/>
    </row>
    <row r="1430" spans="1:25" ht="16.5" customHeight="1" x14ac:dyDescent="0.2">
      <c r="A1430" s="432"/>
      <c r="B1430" s="432"/>
      <c r="C1430" s="432"/>
      <c r="D1430" s="148">
        <v>1.2</v>
      </c>
      <c r="E1430" s="148">
        <v>1</v>
      </c>
      <c r="F1430" s="148">
        <v>0.6</v>
      </c>
      <c r="G1430" s="148">
        <v>1</v>
      </c>
      <c r="H1430" s="148">
        <v>7</v>
      </c>
      <c r="I1430" s="148"/>
      <c r="J1430" s="170">
        <f t="shared" si="84"/>
        <v>5.04</v>
      </c>
      <c r="L1430" s="10"/>
      <c r="M1430" s="10"/>
      <c r="N1430" s="10"/>
      <c r="O1430" s="10"/>
      <c r="P1430" s="10"/>
      <c r="Q1430" s="10"/>
      <c r="R1430" s="10"/>
      <c r="S1430" s="10"/>
      <c r="T1430" s="10"/>
      <c r="U1430" s="10"/>
      <c r="V1430" s="10"/>
      <c r="W1430" s="10"/>
      <c r="X1430" s="10"/>
      <c r="Y1430" s="10"/>
    </row>
    <row r="1431" spans="1:25" ht="16.5" customHeight="1" x14ac:dyDescent="0.2">
      <c r="A1431" s="432" t="s">
        <v>682</v>
      </c>
      <c r="B1431" s="432"/>
      <c r="C1431" s="432"/>
      <c r="D1431" s="148">
        <v>1.2</v>
      </c>
      <c r="E1431" s="148">
        <v>1</v>
      </c>
      <c r="F1431" s="148">
        <v>1.2</v>
      </c>
      <c r="G1431" s="148">
        <v>3</v>
      </c>
      <c r="H1431" s="148">
        <v>7</v>
      </c>
      <c r="I1431" s="148"/>
      <c r="J1431" s="170">
        <f t="shared" si="84"/>
        <v>30.240000000000002</v>
      </c>
      <c r="L1431" s="10"/>
      <c r="M1431" s="10"/>
      <c r="N1431" s="10"/>
      <c r="O1431" s="10"/>
      <c r="P1431" s="10"/>
      <c r="Q1431" s="10"/>
      <c r="R1431" s="10"/>
      <c r="S1431" s="10"/>
      <c r="T1431" s="10"/>
      <c r="U1431" s="10"/>
      <c r="V1431" s="10"/>
      <c r="W1431" s="10"/>
      <c r="X1431" s="10"/>
      <c r="Y1431" s="10"/>
    </row>
    <row r="1432" spans="1:25" ht="16.5" customHeight="1" x14ac:dyDescent="0.2">
      <c r="A1432" s="432"/>
      <c r="B1432" s="432"/>
      <c r="C1432" s="432"/>
      <c r="D1432" s="148">
        <v>1.8</v>
      </c>
      <c r="E1432" s="148">
        <v>1</v>
      </c>
      <c r="F1432" s="148">
        <v>1.2</v>
      </c>
      <c r="G1432" s="148">
        <v>1</v>
      </c>
      <c r="H1432" s="148">
        <v>7</v>
      </c>
      <c r="I1432" s="148"/>
      <c r="J1432" s="170">
        <f t="shared" si="84"/>
        <v>15.120000000000001</v>
      </c>
      <c r="L1432" s="10"/>
      <c r="M1432" s="10"/>
      <c r="N1432" s="10"/>
      <c r="O1432" s="10"/>
      <c r="P1432" s="10"/>
      <c r="Q1432" s="10"/>
      <c r="R1432" s="10"/>
      <c r="S1432" s="10"/>
      <c r="T1432" s="10"/>
      <c r="U1432" s="10"/>
      <c r="V1432" s="10"/>
      <c r="W1432" s="10"/>
      <c r="X1432" s="10"/>
      <c r="Y1432" s="10"/>
    </row>
    <row r="1433" spans="1:25" ht="16.5" customHeight="1" x14ac:dyDescent="0.2">
      <c r="A1433" s="432"/>
      <c r="B1433" s="432"/>
      <c r="C1433" s="432"/>
      <c r="D1433" s="148">
        <v>1.2</v>
      </c>
      <c r="E1433" s="148">
        <v>1</v>
      </c>
      <c r="F1433" s="148">
        <v>0.6</v>
      </c>
      <c r="G1433" s="148">
        <v>1</v>
      </c>
      <c r="H1433" s="148">
        <v>7</v>
      </c>
      <c r="I1433" s="148"/>
      <c r="J1433" s="170">
        <f t="shared" si="84"/>
        <v>5.04</v>
      </c>
      <c r="L1433" s="10"/>
      <c r="M1433" s="10"/>
      <c r="N1433" s="10"/>
      <c r="O1433" s="10"/>
      <c r="P1433" s="10"/>
      <c r="Q1433" s="10"/>
      <c r="R1433" s="10"/>
      <c r="S1433" s="10"/>
      <c r="T1433" s="10"/>
      <c r="U1433" s="10"/>
      <c r="V1433" s="10"/>
      <c r="W1433" s="10"/>
      <c r="X1433" s="10"/>
      <c r="Y1433" s="10"/>
    </row>
    <row r="1434" spans="1:25" ht="16.5" customHeight="1" x14ac:dyDescent="0.2">
      <c r="A1434" s="432" t="s">
        <v>683</v>
      </c>
      <c r="B1434" s="432"/>
      <c r="C1434" s="432"/>
      <c r="D1434" s="148">
        <v>1.2</v>
      </c>
      <c r="E1434" s="148">
        <v>1</v>
      </c>
      <c r="F1434" s="148">
        <v>1.2</v>
      </c>
      <c r="G1434" s="148">
        <v>3</v>
      </c>
      <c r="H1434" s="148">
        <v>7</v>
      </c>
      <c r="I1434" s="148"/>
      <c r="J1434" s="170">
        <f t="shared" si="84"/>
        <v>30.240000000000002</v>
      </c>
      <c r="L1434" s="10"/>
      <c r="M1434" s="10"/>
      <c r="N1434" s="10"/>
      <c r="O1434" s="10"/>
      <c r="P1434" s="10"/>
      <c r="Q1434" s="10"/>
      <c r="R1434" s="10"/>
      <c r="S1434" s="10"/>
      <c r="T1434" s="10"/>
      <c r="U1434" s="10"/>
      <c r="V1434" s="10"/>
      <c r="W1434" s="10"/>
      <c r="X1434" s="10"/>
      <c r="Y1434" s="10"/>
    </row>
    <row r="1435" spans="1:25" ht="16.5" customHeight="1" x14ac:dyDescent="0.2">
      <c r="A1435" s="432"/>
      <c r="B1435" s="432"/>
      <c r="C1435" s="432"/>
      <c r="D1435" s="148">
        <v>1.8</v>
      </c>
      <c r="E1435" s="148">
        <v>1</v>
      </c>
      <c r="F1435" s="148">
        <v>1.2</v>
      </c>
      <c r="G1435" s="148">
        <v>1</v>
      </c>
      <c r="H1435" s="148">
        <v>7</v>
      </c>
      <c r="I1435" s="148"/>
      <c r="J1435" s="170">
        <f t="shared" si="84"/>
        <v>15.120000000000001</v>
      </c>
      <c r="L1435" s="10"/>
      <c r="M1435" s="10"/>
      <c r="N1435" s="10"/>
      <c r="O1435" s="10"/>
      <c r="P1435" s="10"/>
      <c r="Q1435" s="10"/>
      <c r="R1435" s="10"/>
      <c r="S1435" s="10"/>
      <c r="T1435" s="10"/>
      <c r="U1435" s="10"/>
      <c r="V1435" s="10"/>
      <c r="W1435" s="10"/>
      <c r="X1435" s="10"/>
      <c r="Y1435" s="10"/>
    </row>
    <row r="1436" spans="1:25" ht="16.5" customHeight="1" x14ac:dyDescent="0.2">
      <c r="A1436" s="432"/>
      <c r="B1436" s="432"/>
      <c r="C1436" s="432"/>
      <c r="D1436" s="148">
        <v>1.2</v>
      </c>
      <c r="E1436" s="148">
        <v>1</v>
      </c>
      <c r="F1436" s="148">
        <v>0.6</v>
      </c>
      <c r="G1436" s="148">
        <v>1</v>
      </c>
      <c r="H1436" s="148">
        <v>7</v>
      </c>
      <c r="I1436" s="148"/>
      <c r="J1436" s="170">
        <f t="shared" si="84"/>
        <v>5.04</v>
      </c>
      <c r="L1436" s="10"/>
      <c r="M1436" s="10"/>
      <c r="N1436" s="10"/>
      <c r="O1436" s="10"/>
      <c r="P1436" s="10"/>
      <c r="Q1436" s="10"/>
      <c r="R1436" s="10"/>
      <c r="S1436" s="10"/>
      <c r="T1436" s="10"/>
      <c r="U1436" s="10"/>
      <c r="V1436" s="10"/>
      <c r="W1436" s="10"/>
      <c r="X1436" s="10"/>
      <c r="Y1436" s="10"/>
    </row>
    <row r="1437" spans="1:25" ht="16.5" customHeight="1" x14ac:dyDescent="0.2">
      <c r="A1437" s="432" t="s">
        <v>812</v>
      </c>
      <c r="B1437" s="432"/>
      <c r="C1437" s="432"/>
      <c r="D1437" s="148">
        <v>1.2</v>
      </c>
      <c r="E1437" s="148">
        <v>1</v>
      </c>
      <c r="F1437" s="148">
        <v>1.2</v>
      </c>
      <c r="G1437" s="148">
        <v>3</v>
      </c>
      <c r="H1437" s="148">
        <v>7</v>
      </c>
      <c r="I1437" s="148"/>
      <c r="J1437" s="170">
        <f t="shared" si="84"/>
        <v>30.240000000000002</v>
      </c>
      <c r="L1437" s="10"/>
      <c r="M1437" s="10"/>
      <c r="N1437" s="10"/>
      <c r="O1437" s="10"/>
      <c r="P1437" s="10"/>
      <c r="Q1437" s="10"/>
      <c r="R1437" s="10"/>
      <c r="S1437" s="10"/>
      <c r="T1437" s="10"/>
      <c r="U1437" s="10"/>
      <c r="V1437" s="10"/>
      <c r="W1437" s="10"/>
      <c r="X1437" s="10"/>
      <c r="Y1437" s="10"/>
    </row>
    <row r="1438" spans="1:25" ht="16.5" customHeight="1" x14ac:dyDescent="0.2">
      <c r="A1438" s="432"/>
      <c r="B1438" s="432"/>
      <c r="C1438" s="432"/>
      <c r="D1438" s="148">
        <v>1.8</v>
      </c>
      <c r="E1438" s="148">
        <v>1</v>
      </c>
      <c r="F1438" s="148">
        <v>1.2</v>
      </c>
      <c r="G1438" s="148">
        <v>1</v>
      </c>
      <c r="H1438" s="148">
        <v>7</v>
      </c>
      <c r="I1438" s="148"/>
      <c r="J1438" s="170">
        <f t="shared" si="84"/>
        <v>15.120000000000001</v>
      </c>
      <c r="L1438" s="10"/>
      <c r="M1438" s="10"/>
      <c r="N1438" s="10"/>
      <c r="O1438" s="10"/>
      <c r="P1438" s="10"/>
      <c r="Q1438" s="10"/>
      <c r="R1438" s="10"/>
      <c r="S1438" s="10"/>
      <c r="T1438" s="10"/>
      <c r="U1438" s="10"/>
      <c r="V1438" s="10"/>
      <c r="W1438" s="10"/>
      <c r="X1438" s="10"/>
      <c r="Y1438" s="10"/>
    </row>
    <row r="1439" spans="1:25" ht="16.5" customHeight="1" x14ac:dyDescent="0.2">
      <c r="A1439" s="432"/>
      <c r="B1439" s="432"/>
      <c r="C1439" s="432"/>
      <c r="D1439" s="148">
        <v>1.2</v>
      </c>
      <c r="E1439" s="148">
        <v>1</v>
      </c>
      <c r="F1439" s="148">
        <v>0.6</v>
      </c>
      <c r="G1439" s="148">
        <v>1</v>
      </c>
      <c r="H1439" s="148">
        <v>7</v>
      </c>
      <c r="I1439" s="148"/>
      <c r="J1439" s="170">
        <f t="shared" si="84"/>
        <v>5.04</v>
      </c>
      <c r="L1439" s="10"/>
      <c r="M1439" s="10"/>
      <c r="N1439" s="10"/>
      <c r="O1439" s="10"/>
      <c r="P1439" s="10"/>
      <c r="Q1439" s="10"/>
      <c r="R1439" s="10"/>
      <c r="S1439" s="10"/>
      <c r="T1439" s="10"/>
      <c r="U1439" s="10"/>
      <c r="V1439" s="10"/>
      <c r="W1439" s="10"/>
      <c r="X1439" s="10"/>
      <c r="Y1439" s="10"/>
    </row>
    <row r="1440" spans="1:25" ht="16.5" customHeight="1" x14ac:dyDescent="0.2">
      <c r="A1440" s="432" t="s">
        <v>813</v>
      </c>
      <c r="B1440" s="432"/>
      <c r="C1440" s="432"/>
      <c r="D1440" s="148">
        <v>1.2</v>
      </c>
      <c r="E1440" s="148">
        <v>1</v>
      </c>
      <c r="F1440" s="148">
        <v>1.2</v>
      </c>
      <c r="G1440" s="148">
        <v>3</v>
      </c>
      <c r="H1440" s="148">
        <v>7</v>
      </c>
      <c r="I1440" s="148"/>
      <c r="J1440" s="170">
        <f t="shared" si="84"/>
        <v>30.240000000000002</v>
      </c>
      <c r="L1440" s="10"/>
      <c r="M1440" s="10"/>
      <c r="N1440" s="10"/>
      <c r="O1440" s="10"/>
      <c r="P1440" s="10"/>
      <c r="Q1440" s="10"/>
      <c r="R1440" s="10"/>
      <c r="S1440" s="10"/>
      <c r="T1440" s="10"/>
      <c r="U1440" s="10"/>
      <c r="V1440" s="10"/>
      <c r="W1440" s="10"/>
      <c r="X1440" s="10"/>
      <c r="Y1440" s="10"/>
    </row>
    <row r="1441" spans="1:25" ht="16.5" customHeight="1" x14ac:dyDescent="0.2">
      <c r="A1441" s="432"/>
      <c r="B1441" s="432"/>
      <c r="C1441" s="432"/>
      <c r="D1441" s="148">
        <v>1.8</v>
      </c>
      <c r="E1441" s="148">
        <v>1</v>
      </c>
      <c r="F1441" s="148">
        <v>1.2</v>
      </c>
      <c r="G1441" s="148">
        <v>1</v>
      </c>
      <c r="H1441" s="148">
        <v>7</v>
      </c>
      <c r="I1441" s="148"/>
      <c r="J1441" s="170">
        <f t="shared" si="84"/>
        <v>15.120000000000001</v>
      </c>
      <c r="L1441" s="10"/>
      <c r="M1441" s="10"/>
      <c r="N1441" s="10"/>
      <c r="O1441" s="10"/>
      <c r="P1441" s="10"/>
      <c r="Q1441" s="10"/>
      <c r="R1441" s="10"/>
      <c r="S1441" s="10"/>
      <c r="T1441" s="10"/>
      <c r="U1441" s="10"/>
      <c r="V1441" s="10"/>
      <c r="W1441" s="10"/>
      <c r="X1441" s="10"/>
      <c r="Y1441" s="10"/>
    </row>
    <row r="1442" spans="1:25" ht="16.5" customHeight="1" x14ac:dyDescent="0.2">
      <c r="A1442" s="432"/>
      <c r="B1442" s="432"/>
      <c r="C1442" s="432"/>
      <c r="D1442" s="148">
        <v>1.2</v>
      </c>
      <c r="E1442" s="148">
        <v>1</v>
      </c>
      <c r="F1442" s="148">
        <v>0.6</v>
      </c>
      <c r="G1442" s="148">
        <v>1</v>
      </c>
      <c r="H1442" s="148">
        <v>7</v>
      </c>
      <c r="I1442" s="148"/>
      <c r="J1442" s="170">
        <f t="shared" si="84"/>
        <v>5.04</v>
      </c>
      <c r="L1442" s="10"/>
      <c r="M1442" s="10"/>
      <c r="N1442" s="10"/>
      <c r="O1442" s="10"/>
      <c r="P1442" s="10"/>
      <c r="Q1442" s="10"/>
      <c r="R1442" s="10"/>
      <c r="S1442" s="10"/>
      <c r="T1442" s="10"/>
      <c r="U1442" s="10"/>
      <c r="V1442" s="10"/>
      <c r="W1442" s="10"/>
      <c r="X1442" s="10"/>
      <c r="Y1442" s="10"/>
    </row>
    <row r="1443" spans="1:25" ht="16.5" customHeight="1" x14ac:dyDescent="0.2">
      <c r="A1443" s="432" t="s">
        <v>687</v>
      </c>
      <c r="B1443" s="432"/>
      <c r="C1443" s="432"/>
      <c r="D1443" s="148">
        <v>1.2</v>
      </c>
      <c r="E1443" s="148">
        <v>1</v>
      </c>
      <c r="F1443" s="148">
        <v>1.2</v>
      </c>
      <c r="G1443" s="148">
        <v>3</v>
      </c>
      <c r="H1443" s="148">
        <v>7</v>
      </c>
      <c r="I1443" s="148"/>
      <c r="J1443" s="170">
        <f t="shared" si="84"/>
        <v>30.240000000000002</v>
      </c>
      <c r="L1443" s="10"/>
      <c r="M1443" s="10"/>
      <c r="N1443" s="10"/>
      <c r="O1443" s="10"/>
      <c r="P1443" s="10"/>
      <c r="Q1443" s="10"/>
      <c r="R1443" s="10"/>
      <c r="S1443" s="10"/>
      <c r="T1443" s="10"/>
      <c r="U1443" s="10"/>
      <c r="V1443" s="10"/>
      <c r="W1443" s="10"/>
      <c r="X1443" s="10"/>
      <c r="Y1443" s="10"/>
    </row>
    <row r="1444" spans="1:25" ht="16.5" customHeight="1" x14ac:dyDescent="0.2">
      <c r="A1444" s="432"/>
      <c r="B1444" s="432"/>
      <c r="C1444" s="432"/>
      <c r="D1444" s="148">
        <v>1.8</v>
      </c>
      <c r="E1444" s="148">
        <v>1</v>
      </c>
      <c r="F1444" s="148">
        <v>1.2</v>
      </c>
      <c r="G1444" s="148">
        <v>1</v>
      </c>
      <c r="H1444" s="148">
        <v>7</v>
      </c>
      <c r="I1444" s="148"/>
      <c r="J1444" s="170">
        <f t="shared" si="84"/>
        <v>15.120000000000001</v>
      </c>
      <c r="L1444" s="10"/>
      <c r="M1444" s="10"/>
      <c r="N1444" s="10"/>
      <c r="O1444" s="10"/>
      <c r="P1444" s="10"/>
      <c r="Q1444" s="10"/>
      <c r="R1444" s="10"/>
      <c r="S1444" s="10"/>
      <c r="T1444" s="10"/>
      <c r="U1444" s="10"/>
      <c r="V1444" s="10"/>
      <c r="W1444" s="10"/>
      <c r="X1444" s="10"/>
      <c r="Y1444" s="10"/>
    </row>
    <row r="1445" spans="1:25" ht="16.5" customHeight="1" x14ac:dyDescent="0.2">
      <c r="A1445" s="432"/>
      <c r="B1445" s="432"/>
      <c r="C1445" s="432"/>
      <c r="D1445" s="148">
        <v>1.2</v>
      </c>
      <c r="E1445" s="148">
        <v>1</v>
      </c>
      <c r="F1445" s="148">
        <v>0.6</v>
      </c>
      <c r="G1445" s="148">
        <v>1</v>
      </c>
      <c r="H1445" s="148">
        <v>7</v>
      </c>
      <c r="I1445" s="148"/>
      <c r="J1445" s="170">
        <f t="shared" si="84"/>
        <v>5.04</v>
      </c>
      <c r="L1445" s="10"/>
      <c r="M1445" s="10"/>
      <c r="N1445" s="10"/>
      <c r="O1445" s="10"/>
      <c r="P1445" s="10"/>
      <c r="Q1445" s="10"/>
      <c r="R1445" s="10"/>
      <c r="S1445" s="10"/>
      <c r="T1445" s="10"/>
      <c r="U1445" s="10"/>
      <c r="V1445" s="10"/>
      <c r="W1445" s="10"/>
      <c r="X1445" s="10"/>
      <c r="Y1445" s="10"/>
    </row>
    <row r="1446" spans="1:25" ht="16.5" customHeight="1" x14ac:dyDescent="0.2">
      <c r="A1446" s="432" t="s">
        <v>310</v>
      </c>
      <c r="B1446" s="432"/>
      <c r="C1446" s="432"/>
      <c r="D1446" s="148">
        <v>0.8</v>
      </c>
      <c r="E1446" s="148">
        <v>1</v>
      </c>
      <c r="F1446" s="148">
        <v>1.6</v>
      </c>
      <c r="G1446" s="148">
        <v>3</v>
      </c>
      <c r="H1446" s="148">
        <v>7</v>
      </c>
      <c r="I1446" s="148"/>
      <c r="J1446" s="170">
        <f t="shared" si="84"/>
        <v>26.880000000000006</v>
      </c>
      <c r="L1446" s="10"/>
      <c r="M1446" s="10"/>
      <c r="N1446" s="10"/>
      <c r="O1446" s="10"/>
      <c r="P1446" s="10"/>
      <c r="Q1446" s="10"/>
      <c r="R1446" s="10"/>
      <c r="S1446" s="10"/>
      <c r="T1446" s="10"/>
      <c r="U1446" s="10"/>
      <c r="V1446" s="10"/>
      <c r="W1446" s="10"/>
      <c r="X1446" s="10"/>
      <c r="Y1446" s="10"/>
    </row>
    <row r="1447" spans="1:25" ht="16.5" customHeight="1" x14ac:dyDescent="0.2">
      <c r="A1447" s="432"/>
      <c r="B1447" s="432"/>
      <c r="C1447" s="432"/>
      <c r="D1447" s="148">
        <v>0.6</v>
      </c>
      <c r="E1447" s="148">
        <v>1</v>
      </c>
      <c r="F1447" s="148">
        <v>1.2</v>
      </c>
      <c r="G1447" s="148">
        <v>8</v>
      </c>
      <c r="H1447" s="148">
        <v>7</v>
      </c>
      <c r="I1447" s="148"/>
      <c r="J1447" s="170">
        <f t="shared" si="84"/>
        <v>40.32</v>
      </c>
      <c r="L1447" s="10"/>
      <c r="M1447" s="10"/>
      <c r="N1447" s="10"/>
      <c r="O1447" s="10"/>
      <c r="P1447" s="10"/>
      <c r="Q1447" s="10"/>
      <c r="R1447" s="10"/>
      <c r="S1447" s="10"/>
      <c r="T1447" s="10"/>
      <c r="U1447" s="10"/>
      <c r="V1447" s="10"/>
      <c r="W1447" s="10"/>
      <c r="X1447" s="10"/>
      <c r="Y1447" s="10"/>
    </row>
    <row r="1448" spans="1:25" ht="16.5" customHeight="1" x14ac:dyDescent="0.2">
      <c r="A1448" s="432"/>
      <c r="B1448" s="432"/>
      <c r="C1448" s="432"/>
      <c r="D1448" s="148">
        <v>0.6</v>
      </c>
      <c r="E1448" s="148">
        <v>1</v>
      </c>
      <c r="F1448" s="148">
        <v>0.8</v>
      </c>
      <c r="G1448" s="148">
        <v>2</v>
      </c>
      <c r="H1448" s="148">
        <v>7</v>
      </c>
      <c r="I1448" s="148"/>
      <c r="J1448" s="170">
        <f t="shared" si="84"/>
        <v>6.72</v>
      </c>
      <c r="L1448" s="10"/>
      <c r="M1448" s="10"/>
      <c r="N1448" s="10"/>
      <c r="O1448" s="10"/>
      <c r="P1448" s="10"/>
      <c r="Q1448" s="10"/>
      <c r="R1448" s="10"/>
      <c r="S1448" s="10"/>
      <c r="T1448" s="10"/>
      <c r="U1448" s="10"/>
      <c r="V1448" s="10"/>
      <c r="W1448" s="10"/>
      <c r="X1448" s="10"/>
      <c r="Y1448" s="10"/>
    </row>
    <row r="1449" spans="1:25" ht="16.5" customHeight="1" x14ac:dyDescent="0.2">
      <c r="A1449" s="342" t="str">
        <f>"TOTAL - "&amp;'Planilha orçamentária'!F96</f>
        <v>TOTAL - M2</v>
      </c>
      <c r="B1449" s="342"/>
      <c r="C1449" s="342"/>
      <c r="D1449" s="342"/>
      <c r="E1449" s="342"/>
      <c r="F1449" s="342"/>
      <c r="G1449" s="342"/>
      <c r="H1449" s="342"/>
      <c r="I1449" s="342"/>
      <c r="J1449" s="149">
        <f>SUM(J1398:J1448)</f>
        <v>880.32</v>
      </c>
      <c r="K1449" s="10"/>
      <c r="L1449" s="10"/>
      <c r="M1449" s="10"/>
      <c r="N1449" s="10"/>
      <c r="O1449" s="10"/>
      <c r="P1449" s="10"/>
      <c r="Q1449" s="10"/>
      <c r="R1449" s="10"/>
      <c r="S1449" s="10"/>
      <c r="T1449" s="10"/>
      <c r="U1449" s="10"/>
      <c r="V1449" s="10"/>
      <c r="W1449" s="10"/>
      <c r="X1449" s="10"/>
      <c r="Y1449" s="10"/>
    </row>
    <row r="1450" spans="1:25" ht="16.5" customHeight="1" x14ac:dyDescent="0.2">
      <c r="A1450" s="38">
        <f>'Planilha orçamentária'!A98</f>
        <v>13</v>
      </c>
      <c r="B1450" s="392" t="str">
        <f>'Planilha orçamentária'!D98</f>
        <v>INSTALAÇÕES HIDROSANITÁRIAS</v>
      </c>
      <c r="C1450" s="393"/>
      <c r="D1450" s="393"/>
      <c r="E1450" s="393"/>
      <c r="F1450" s="393"/>
      <c r="G1450" s="393"/>
      <c r="H1450" s="393"/>
      <c r="I1450" s="393"/>
      <c r="J1450" s="393"/>
      <c r="L1450" s="10"/>
      <c r="M1450" s="10"/>
      <c r="N1450" s="10"/>
      <c r="O1450" s="10"/>
      <c r="P1450" s="10"/>
      <c r="Q1450" s="10"/>
      <c r="R1450" s="10"/>
      <c r="S1450" s="10"/>
      <c r="T1450" s="10"/>
      <c r="U1450" s="10"/>
      <c r="V1450" s="10"/>
      <c r="W1450" s="10"/>
      <c r="X1450" s="10"/>
      <c r="Y1450" s="10"/>
    </row>
    <row r="1451" spans="1:25" ht="25.5" customHeight="1" x14ac:dyDescent="0.2">
      <c r="A1451" s="184" t="str">
        <f>'Planilha orçamentária'!A99</f>
        <v>13.1</v>
      </c>
      <c r="B1451" s="343" t="str">
        <f>'Planilha orçamentária'!D99</f>
        <v>Ponto de embutir para água fria em tubo de PVC rígido soldável, DN 20mm (1/2"), embutido na alvenaria com distância de até cinco (5) metros da tomada de água, inclusive conexões e fixação do tubo com enchimento do rasgo na alvenaria/concreto com argamassa</v>
      </c>
      <c r="C1451" s="344"/>
      <c r="D1451" s="344"/>
      <c r="E1451" s="344"/>
      <c r="F1451" s="344"/>
      <c r="G1451" s="344"/>
      <c r="H1451" s="344"/>
      <c r="I1451" s="344"/>
      <c r="J1451" s="344"/>
      <c r="K1451" s="10"/>
      <c r="L1451" s="10"/>
      <c r="M1451" s="10"/>
      <c r="N1451" s="10"/>
      <c r="O1451" s="10"/>
      <c r="P1451" s="10"/>
      <c r="Q1451" s="10"/>
      <c r="R1451" s="10"/>
      <c r="S1451" s="10"/>
      <c r="T1451" s="10"/>
      <c r="U1451" s="10"/>
      <c r="V1451" s="10"/>
      <c r="W1451" s="10"/>
      <c r="X1451" s="10"/>
      <c r="Y1451" s="10"/>
    </row>
    <row r="1452" spans="1:25" ht="16.5" customHeight="1" x14ac:dyDescent="0.2">
      <c r="A1452" s="327" t="s">
        <v>120</v>
      </c>
      <c r="B1452" s="328"/>
      <c r="C1452" s="328"/>
      <c r="D1452" s="182" t="s">
        <v>121</v>
      </c>
      <c r="E1452" s="182" t="s">
        <v>122</v>
      </c>
      <c r="F1452" s="181" t="s">
        <v>123</v>
      </c>
      <c r="G1452" s="181" t="s">
        <v>124</v>
      </c>
      <c r="H1452" s="181" t="s">
        <v>125</v>
      </c>
      <c r="I1452" s="182" t="s">
        <v>126</v>
      </c>
      <c r="J1452" s="182" t="s">
        <v>113</v>
      </c>
      <c r="K1452" s="10"/>
      <c r="L1452" s="10"/>
      <c r="M1452" s="10"/>
      <c r="N1452" s="10"/>
      <c r="O1452" s="10"/>
      <c r="P1452" s="10"/>
      <c r="Q1452" s="10"/>
      <c r="R1452" s="10"/>
      <c r="S1452" s="10"/>
      <c r="T1452" s="10"/>
      <c r="U1452" s="10"/>
      <c r="V1452" s="10"/>
      <c r="W1452" s="10"/>
      <c r="X1452" s="10"/>
      <c r="Y1452" s="10"/>
    </row>
    <row r="1453" spans="1:25" ht="16.5" customHeight="1" x14ac:dyDescent="0.2">
      <c r="A1453" s="403" t="s">
        <v>671</v>
      </c>
      <c r="B1453" s="404"/>
      <c r="C1453" s="405"/>
      <c r="D1453" s="148"/>
      <c r="E1453" s="148"/>
      <c r="F1453" s="148"/>
      <c r="G1453" s="148">
        <v>21</v>
      </c>
      <c r="H1453" s="148"/>
      <c r="I1453" s="148"/>
      <c r="J1453" s="170">
        <f t="shared" ref="J1453:J1468" si="85">PRODUCT(D1453:H1453)-I1453</f>
        <v>21</v>
      </c>
      <c r="L1453" s="10"/>
      <c r="M1453" s="10"/>
      <c r="N1453" s="10"/>
      <c r="O1453" s="10"/>
      <c r="P1453" s="10"/>
      <c r="Q1453" s="10"/>
      <c r="R1453" s="10"/>
      <c r="S1453" s="10"/>
      <c r="T1453" s="10"/>
      <c r="U1453" s="10"/>
      <c r="V1453" s="10"/>
      <c r="W1453" s="10"/>
      <c r="X1453" s="10"/>
      <c r="Y1453" s="10"/>
    </row>
    <row r="1454" spans="1:25" ht="16.5" customHeight="1" x14ac:dyDescent="0.2">
      <c r="A1454" s="403" t="s">
        <v>672</v>
      </c>
      <c r="B1454" s="404"/>
      <c r="C1454" s="405"/>
      <c r="D1454" s="148"/>
      <c r="E1454" s="148"/>
      <c r="F1454" s="148"/>
      <c r="G1454" s="148">
        <v>21</v>
      </c>
      <c r="H1454" s="148"/>
      <c r="I1454" s="148"/>
      <c r="J1454" s="170">
        <f t="shared" si="85"/>
        <v>21</v>
      </c>
      <c r="L1454" s="10"/>
      <c r="M1454" s="10"/>
      <c r="N1454" s="10"/>
      <c r="O1454" s="10"/>
      <c r="P1454" s="10"/>
      <c r="Q1454" s="10"/>
      <c r="R1454" s="10"/>
      <c r="S1454" s="10"/>
      <c r="T1454" s="10"/>
      <c r="U1454" s="10"/>
      <c r="V1454" s="10"/>
      <c r="W1454" s="10"/>
      <c r="X1454" s="10"/>
      <c r="Y1454" s="10"/>
    </row>
    <row r="1455" spans="1:25" ht="16.5" customHeight="1" x14ac:dyDescent="0.2">
      <c r="A1455" s="403" t="s">
        <v>673</v>
      </c>
      <c r="B1455" s="404"/>
      <c r="C1455" s="405"/>
      <c r="D1455" s="148"/>
      <c r="E1455" s="148"/>
      <c r="F1455" s="148"/>
      <c r="G1455" s="148">
        <v>21</v>
      </c>
      <c r="H1455" s="148"/>
      <c r="I1455" s="148"/>
      <c r="J1455" s="170">
        <f t="shared" si="85"/>
        <v>21</v>
      </c>
      <c r="L1455" s="10"/>
      <c r="M1455" s="10"/>
      <c r="N1455" s="10"/>
      <c r="O1455" s="10"/>
      <c r="P1455" s="10"/>
      <c r="Q1455" s="10"/>
      <c r="R1455" s="10"/>
      <c r="S1455" s="10"/>
      <c r="T1455" s="10"/>
      <c r="U1455" s="10"/>
      <c r="V1455" s="10"/>
      <c r="W1455" s="10"/>
      <c r="X1455" s="10"/>
      <c r="Y1455" s="10"/>
    </row>
    <row r="1456" spans="1:25" ht="16.5" customHeight="1" x14ac:dyDescent="0.2">
      <c r="A1456" s="403" t="s">
        <v>674</v>
      </c>
      <c r="B1456" s="404"/>
      <c r="C1456" s="405"/>
      <c r="D1456" s="148"/>
      <c r="E1456" s="148"/>
      <c r="F1456" s="148"/>
      <c r="G1456" s="148">
        <v>21</v>
      </c>
      <c r="H1456" s="148"/>
      <c r="I1456" s="148"/>
      <c r="J1456" s="170">
        <f t="shared" si="85"/>
        <v>21</v>
      </c>
      <c r="L1456" s="10"/>
      <c r="M1456" s="10"/>
      <c r="N1456" s="10"/>
      <c r="O1456" s="10"/>
      <c r="P1456" s="10"/>
      <c r="Q1456" s="10"/>
      <c r="R1456" s="10"/>
      <c r="S1456" s="10"/>
      <c r="T1456" s="10"/>
      <c r="U1456" s="10"/>
      <c r="V1456" s="10"/>
      <c r="W1456" s="10"/>
      <c r="X1456" s="10"/>
      <c r="Y1456" s="10"/>
    </row>
    <row r="1457" spans="1:25" ht="16.5" customHeight="1" x14ac:dyDescent="0.2">
      <c r="A1457" s="403" t="s">
        <v>816</v>
      </c>
      <c r="B1457" s="404"/>
      <c r="C1457" s="405"/>
      <c r="D1457" s="148"/>
      <c r="E1457" s="148"/>
      <c r="F1457" s="148"/>
      <c r="G1457" s="148">
        <v>21</v>
      </c>
      <c r="H1457" s="148"/>
      <c r="I1457" s="148"/>
      <c r="J1457" s="170">
        <f t="shared" si="85"/>
        <v>21</v>
      </c>
      <c r="L1457" s="10"/>
      <c r="M1457" s="10"/>
      <c r="N1457" s="10"/>
      <c r="O1457" s="10"/>
      <c r="P1457" s="10"/>
      <c r="Q1457" s="10"/>
      <c r="R1457" s="10"/>
      <c r="S1457" s="10"/>
      <c r="T1457" s="10"/>
      <c r="U1457" s="10"/>
      <c r="V1457" s="10"/>
      <c r="W1457" s="10"/>
      <c r="X1457" s="10"/>
      <c r="Y1457" s="10"/>
    </row>
    <row r="1458" spans="1:25" ht="16.5" customHeight="1" x14ac:dyDescent="0.2">
      <c r="A1458" s="403" t="s">
        <v>676</v>
      </c>
      <c r="B1458" s="404"/>
      <c r="C1458" s="405"/>
      <c r="D1458" s="148"/>
      <c r="E1458" s="148"/>
      <c r="F1458" s="148"/>
      <c r="G1458" s="148">
        <v>21</v>
      </c>
      <c r="H1458" s="148"/>
      <c r="I1458" s="148"/>
      <c r="J1458" s="170">
        <f t="shared" si="85"/>
        <v>21</v>
      </c>
      <c r="L1458" s="10"/>
      <c r="M1458" s="10"/>
      <c r="N1458" s="10"/>
      <c r="O1458" s="10"/>
      <c r="P1458" s="10"/>
      <c r="Q1458" s="10"/>
      <c r="R1458" s="10"/>
      <c r="S1458" s="10"/>
      <c r="T1458" s="10"/>
      <c r="U1458" s="10"/>
      <c r="V1458" s="10"/>
      <c r="W1458" s="10"/>
      <c r="X1458" s="10"/>
      <c r="Y1458" s="10"/>
    </row>
    <row r="1459" spans="1:25" ht="16.5" customHeight="1" x14ac:dyDescent="0.2">
      <c r="A1459" s="403" t="s">
        <v>677</v>
      </c>
      <c r="B1459" s="404"/>
      <c r="C1459" s="405"/>
      <c r="D1459" s="148"/>
      <c r="E1459" s="148"/>
      <c r="F1459" s="148"/>
      <c r="G1459" s="148">
        <v>21</v>
      </c>
      <c r="H1459" s="148"/>
      <c r="I1459" s="148"/>
      <c r="J1459" s="170">
        <f t="shared" si="85"/>
        <v>21</v>
      </c>
      <c r="L1459" s="10"/>
      <c r="M1459" s="10"/>
      <c r="N1459" s="10"/>
      <c r="O1459" s="10"/>
      <c r="P1459" s="10"/>
      <c r="Q1459" s="10"/>
      <c r="R1459" s="10"/>
      <c r="S1459" s="10"/>
      <c r="T1459" s="10"/>
      <c r="U1459" s="10"/>
      <c r="V1459" s="10"/>
      <c r="W1459" s="10"/>
      <c r="X1459" s="10"/>
      <c r="Y1459" s="10"/>
    </row>
    <row r="1460" spans="1:25" ht="16.5" customHeight="1" x14ac:dyDescent="0.2">
      <c r="A1460" s="403" t="s">
        <v>678</v>
      </c>
      <c r="B1460" s="404"/>
      <c r="C1460" s="405"/>
      <c r="D1460" s="148"/>
      <c r="E1460" s="148"/>
      <c r="F1460" s="148"/>
      <c r="G1460" s="148">
        <v>21</v>
      </c>
      <c r="H1460" s="148"/>
      <c r="I1460" s="148"/>
      <c r="J1460" s="170">
        <f t="shared" si="85"/>
        <v>21</v>
      </c>
      <c r="L1460" s="10"/>
      <c r="M1460" s="10"/>
      <c r="N1460" s="10"/>
      <c r="O1460" s="10"/>
      <c r="P1460" s="10"/>
      <c r="Q1460" s="10"/>
      <c r="R1460" s="10"/>
      <c r="S1460" s="10"/>
      <c r="T1460" s="10"/>
      <c r="U1460" s="10"/>
      <c r="V1460" s="10"/>
      <c r="W1460" s="10"/>
      <c r="X1460" s="10"/>
      <c r="Y1460" s="10"/>
    </row>
    <row r="1461" spans="1:25" ht="16.5" customHeight="1" x14ac:dyDescent="0.2">
      <c r="A1461" s="403" t="s">
        <v>679</v>
      </c>
      <c r="B1461" s="404"/>
      <c r="C1461" s="405"/>
      <c r="D1461" s="148"/>
      <c r="E1461" s="148"/>
      <c r="F1461" s="148"/>
      <c r="G1461" s="148">
        <v>21</v>
      </c>
      <c r="H1461" s="148"/>
      <c r="I1461" s="148"/>
      <c r="J1461" s="170">
        <f t="shared" si="85"/>
        <v>21</v>
      </c>
      <c r="L1461" s="10"/>
      <c r="M1461" s="10"/>
      <c r="N1461" s="10"/>
      <c r="O1461" s="10"/>
      <c r="P1461" s="10"/>
      <c r="Q1461" s="10"/>
      <c r="R1461" s="10"/>
      <c r="S1461" s="10"/>
      <c r="T1461" s="10"/>
      <c r="U1461" s="10"/>
      <c r="V1461" s="10"/>
      <c r="W1461" s="10"/>
      <c r="X1461" s="10"/>
      <c r="Y1461" s="10"/>
    </row>
    <row r="1462" spans="1:25" ht="16.5" customHeight="1" x14ac:dyDescent="0.2">
      <c r="A1462" s="403" t="s">
        <v>769</v>
      </c>
      <c r="B1462" s="404"/>
      <c r="C1462" s="405"/>
      <c r="D1462" s="148"/>
      <c r="E1462" s="148"/>
      <c r="F1462" s="148"/>
      <c r="G1462" s="148">
        <v>21</v>
      </c>
      <c r="H1462" s="148"/>
      <c r="I1462" s="148"/>
      <c r="J1462" s="170">
        <f t="shared" si="85"/>
        <v>21</v>
      </c>
      <c r="L1462" s="10"/>
      <c r="M1462" s="10"/>
      <c r="N1462" s="10"/>
      <c r="O1462" s="10"/>
      <c r="P1462" s="10"/>
      <c r="Q1462" s="10"/>
      <c r="R1462" s="10"/>
      <c r="S1462" s="10"/>
      <c r="T1462" s="10"/>
      <c r="U1462" s="10"/>
      <c r="V1462" s="10"/>
      <c r="W1462" s="10"/>
      <c r="X1462" s="10"/>
      <c r="Y1462" s="10"/>
    </row>
    <row r="1463" spans="1:25" ht="16.5" customHeight="1" x14ac:dyDescent="0.2">
      <c r="A1463" s="403" t="s">
        <v>681</v>
      </c>
      <c r="B1463" s="404"/>
      <c r="C1463" s="405"/>
      <c r="D1463" s="148"/>
      <c r="E1463" s="148"/>
      <c r="F1463" s="148"/>
      <c r="G1463" s="148">
        <v>21</v>
      </c>
      <c r="H1463" s="148"/>
      <c r="I1463" s="148"/>
      <c r="J1463" s="170">
        <f t="shared" si="85"/>
        <v>21</v>
      </c>
      <c r="L1463" s="10"/>
      <c r="M1463" s="10"/>
      <c r="N1463" s="10"/>
      <c r="O1463" s="10"/>
      <c r="P1463" s="10"/>
      <c r="Q1463" s="10"/>
      <c r="R1463" s="10"/>
      <c r="S1463" s="10"/>
      <c r="T1463" s="10"/>
      <c r="U1463" s="10"/>
      <c r="V1463" s="10"/>
      <c r="W1463" s="10"/>
      <c r="X1463" s="10"/>
      <c r="Y1463" s="10"/>
    </row>
    <row r="1464" spans="1:25" ht="16.5" customHeight="1" x14ac:dyDescent="0.2">
      <c r="A1464" s="403" t="s">
        <v>682</v>
      </c>
      <c r="B1464" s="404"/>
      <c r="C1464" s="405"/>
      <c r="D1464" s="148"/>
      <c r="E1464" s="148"/>
      <c r="F1464" s="148"/>
      <c r="G1464" s="148">
        <v>21</v>
      </c>
      <c r="H1464" s="148"/>
      <c r="I1464" s="148"/>
      <c r="J1464" s="170">
        <f t="shared" si="85"/>
        <v>21</v>
      </c>
      <c r="L1464" s="10"/>
      <c r="M1464" s="10"/>
      <c r="N1464" s="10"/>
      <c r="O1464" s="10"/>
      <c r="P1464" s="10"/>
      <c r="Q1464" s="10"/>
      <c r="R1464" s="10"/>
      <c r="S1464" s="10"/>
      <c r="T1464" s="10"/>
      <c r="U1464" s="10"/>
      <c r="V1464" s="10"/>
      <c r="W1464" s="10"/>
      <c r="X1464" s="10"/>
      <c r="Y1464" s="10"/>
    </row>
    <row r="1465" spans="1:25" ht="16.5" customHeight="1" x14ac:dyDescent="0.2">
      <c r="A1465" s="403" t="s">
        <v>683</v>
      </c>
      <c r="B1465" s="404"/>
      <c r="C1465" s="405"/>
      <c r="D1465" s="148"/>
      <c r="E1465" s="148"/>
      <c r="F1465" s="148"/>
      <c r="G1465" s="148">
        <v>21</v>
      </c>
      <c r="H1465" s="148"/>
      <c r="I1465" s="148"/>
      <c r="J1465" s="170">
        <f t="shared" si="85"/>
        <v>21</v>
      </c>
      <c r="L1465" s="10"/>
      <c r="M1465" s="10"/>
      <c r="N1465" s="10"/>
      <c r="O1465" s="10"/>
      <c r="P1465" s="10"/>
      <c r="Q1465" s="10"/>
      <c r="R1465" s="10"/>
      <c r="S1465" s="10"/>
      <c r="T1465" s="10"/>
      <c r="U1465" s="10"/>
      <c r="V1465" s="10"/>
      <c r="W1465" s="10"/>
      <c r="X1465" s="10"/>
      <c r="Y1465" s="10"/>
    </row>
    <row r="1466" spans="1:25" ht="16.5" customHeight="1" x14ac:dyDescent="0.2">
      <c r="A1466" s="403" t="s">
        <v>817</v>
      </c>
      <c r="B1466" s="404"/>
      <c r="C1466" s="405"/>
      <c r="D1466" s="148"/>
      <c r="E1466" s="148"/>
      <c r="F1466" s="148"/>
      <c r="G1466" s="148">
        <v>21</v>
      </c>
      <c r="H1466" s="148"/>
      <c r="I1466" s="148"/>
      <c r="J1466" s="170">
        <f t="shared" si="85"/>
        <v>21</v>
      </c>
      <c r="L1466" s="10"/>
      <c r="M1466" s="10"/>
      <c r="N1466" s="10"/>
      <c r="O1466" s="10"/>
      <c r="P1466" s="10"/>
      <c r="Q1466" s="10"/>
      <c r="R1466" s="10"/>
      <c r="S1466" s="10"/>
      <c r="T1466" s="10"/>
      <c r="U1466" s="10"/>
      <c r="V1466" s="10"/>
      <c r="W1466" s="10"/>
      <c r="X1466" s="10"/>
      <c r="Y1466" s="10"/>
    </row>
    <row r="1467" spans="1:25" ht="16.5" customHeight="1" x14ac:dyDescent="0.2">
      <c r="A1467" s="403" t="s">
        <v>792</v>
      </c>
      <c r="B1467" s="404"/>
      <c r="C1467" s="405"/>
      <c r="D1467" s="148"/>
      <c r="E1467" s="148"/>
      <c r="F1467" s="148"/>
      <c r="G1467" s="148">
        <v>21</v>
      </c>
      <c r="H1467" s="148"/>
      <c r="I1467" s="148"/>
      <c r="J1467" s="170">
        <f t="shared" si="85"/>
        <v>21</v>
      </c>
      <c r="L1467" s="10"/>
      <c r="M1467" s="10"/>
      <c r="N1467" s="10"/>
      <c r="O1467" s="10"/>
      <c r="P1467" s="10"/>
      <c r="Q1467" s="10"/>
      <c r="R1467" s="10"/>
      <c r="S1467" s="10"/>
      <c r="T1467" s="10"/>
      <c r="U1467" s="10"/>
      <c r="V1467" s="10"/>
      <c r="W1467" s="10"/>
      <c r="X1467" s="10"/>
      <c r="Y1467" s="10"/>
    </row>
    <row r="1468" spans="1:25" ht="16.5" customHeight="1" x14ac:dyDescent="0.2">
      <c r="A1468" s="403" t="s">
        <v>687</v>
      </c>
      <c r="B1468" s="404"/>
      <c r="C1468" s="405"/>
      <c r="D1468" s="148"/>
      <c r="E1468" s="148"/>
      <c r="F1468" s="148"/>
      <c r="G1468" s="148">
        <v>21</v>
      </c>
      <c r="H1468" s="148"/>
      <c r="I1468" s="148"/>
      <c r="J1468" s="170">
        <f t="shared" si="85"/>
        <v>21</v>
      </c>
      <c r="L1468" s="10"/>
      <c r="M1468" s="10"/>
      <c r="N1468" s="10"/>
      <c r="O1468" s="10"/>
      <c r="P1468" s="10"/>
      <c r="Q1468" s="10"/>
      <c r="R1468" s="10"/>
      <c r="S1468" s="10"/>
      <c r="T1468" s="10"/>
      <c r="U1468" s="10"/>
      <c r="V1468" s="10"/>
      <c r="W1468" s="10"/>
      <c r="X1468" s="10"/>
      <c r="Y1468" s="10"/>
    </row>
    <row r="1469" spans="1:25" ht="16.5" customHeight="1" x14ac:dyDescent="0.2">
      <c r="A1469" s="342" t="str">
        <f>"TOTAL - "&amp;'Planilha orçamentária'!F99</f>
        <v>TOTAL - UN</v>
      </c>
      <c r="B1469" s="342"/>
      <c r="C1469" s="342"/>
      <c r="D1469" s="342"/>
      <c r="E1469" s="342"/>
      <c r="F1469" s="342"/>
      <c r="G1469" s="342"/>
      <c r="H1469" s="342"/>
      <c r="I1469" s="342"/>
      <c r="J1469" s="149">
        <f>SUM(J1453:J1468)</f>
        <v>336</v>
      </c>
      <c r="K1469" s="10"/>
      <c r="L1469" s="10"/>
      <c r="M1469" s="10"/>
      <c r="N1469" s="10"/>
      <c r="O1469" s="10"/>
      <c r="P1469" s="10"/>
      <c r="Q1469" s="10"/>
      <c r="R1469" s="10"/>
      <c r="S1469" s="10"/>
      <c r="T1469" s="10"/>
      <c r="U1469" s="10"/>
      <c r="V1469" s="10"/>
      <c r="W1469" s="10"/>
      <c r="X1469" s="10"/>
      <c r="Y1469" s="10"/>
    </row>
    <row r="1470" spans="1:25" ht="16.5" customHeight="1" x14ac:dyDescent="0.2">
      <c r="A1470" s="184" t="str">
        <f>'Planilha orçamentária'!A100</f>
        <v>13.2</v>
      </c>
      <c r="B1470" s="343" t="str">
        <f>'Planilha orçamentária'!D100</f>
        <v>Registro de gaveta, tipo base, roscável 3/4" (para tubo soldável ou PPR DN 25mm/CPVC DN 22mm), inclusive acabamento (padrão médio) e canopla cromado</v>
      </c>
      <c r="C1470" s="344"/>
      <c r="D1470" s="344"/>
      <c r="E1470" s="344"/>
      <c r="F1470" s="344"/>
      <c r="G1470" s="344"/>
      <c r="H1470" s="344"/>
      <c r="I1470" s="344"/>
      <c r="J1470" s="344"/>
      <c r="K1470" s="10"/>
      <c r="L1470" s="10"/>
      <c r="M1470" s="10"/>
      <c r="N1470" s="10"/>
      <c r="O1470" s="10"/>
      <c r="P1470" s="10"/>
      <c r="Q1470" s="10"/>
      <c r="R1470" s="10"/>
      <c r="S1470" s="10"/>
      <c r="T1470" s="10"/>
      <c r="U1470" s="10"/>
      <c r="V1470" s="10"/>
      <c r="W1470" s="10"/>
      <c r="X1470" s="10"/>
      <c r="Y1470" s="10"/>
    </row>
    <row r="1471" spans="1:25" ht="16.5" customHeight="1" x14ac:dyDescent="0.2">
      <c r="A1471" s="327" t="s">
        <v>120</v>
      </c>
      <c r="B1471" s="328"/>
      <c r="C1471" s="328"/>
      <c r="D1471" s="182" t="s">
        <v>121</v>
      </c>
      <c r="E1471" s="182" t="s">
        <v>122</v>
      </c>
      <c r="F1471" s="181" t="s">
        <v>123</v>
      </c>
      <c r="G1471" s="181" t="s">
        <v>124</v>
      </c>
      <c r="H1471" s="181" t="s">
        <v>125</v>
      </c>
      <c r="I1471" s="182" t="s">
        <v>126</v>
      </c>
      <c r="J1471" s="182" t="s">
        <v>113</v>
      </c>
      <c r="K1471" s="10"/>
      <c r="L1471" s="10"/>
      <c r="M1471" s="10"/>
      <c r="N1471" s="10"/>
      <c r="O1471" s="10"/>
      <c r="P1471" s="10"/>
      <c r="Q1471" s="10"/>
      <c r="R1471" s="10"/>
      <c r="S1471" s="10"/>
      <c r="T1471" s="10"/>
      <c r="U1471" s="10"/>
      <c r="V1471" s="10"/>
      <c r="W1471" s="10"/>
      <c r="X1471" s="10"/>
      <c r="Y1471" s="10"/>
    </row>
    <row r="1472" spans="1:25" ht="16.5" customHeight="1" x14ac:dyDescent="0.2">
      <c r="A1472" s="403" t="s">
        <v>671</v>
      </c>
      <c r="B1472" s="404"/>
      <c r="C1472" s="405"/>
      <c r="D1472" s="148"/>
      <c r="E1472" s="148"/>
      <c r="F1472" s="148"/>
      <c r="G1472" s="148">
        <v>21</v>
      </c>
      <c r="H1472" s="148"/>
      <c r="I1472" s="148"/>
      <c r="J1472" s="170">
        <f t="shared" ref="J1472:J1487" si="86">PRODUCT(D1472:H1472)-I1472</f>
        <v>21</v>
      </c>
      <c r="L1472" s="10"/>
      <c r="M1472" s="10"/>
      <c r="N1472" s="10"/>
      <c r="O1472" s="10"/>
      <c r="P1472" s="10"/>
      <c r="Q1472" s="10"/>
      <c r="R1472" s="10"/>
      <c r="S1472" s="10"/>
      <c r="T1472" s="10"/>
      <c r="U1472" s="10"/>
      <c r="V1472" s="10"/>
      <c r="W1472" s="10"/>
      <c r="X1472" s="10"/>
      <c r="Y1472" s="10"/>
    </row>
    <row r="1473" spans="1:25" ht="16.5" customHeight="1" x14ac:dyDescent="0.2">
      <c r="A1473" s="403" t="s">
        <v>672</v>
      </c>
      <c r="B1473" s="404"/>
      <c r="C1473" s="405"/>
      <c r="D1473" s="148"/>
      <c r="E1473" s="148"/>
      <c r="F1473" s="148"/>
      <c r="G1473" s="148">
        <v>21</v>
      </c>
      <c r="H1473" s="148"/>
      <c r="I1473" s="148"/>
      <c r="J1473" s="170">
        <f t="shared" si="86"/>
        <v>21</v>
      </c>
      <c r="L1473" s="10"/>
      <c r="M1473" s="10"/>
      <c r="N1473" s="10"/>
      <c r="O1473" s="10"/>
      <c r="P1473" s="10"/>
      <c r="Q1473" s="10"/>
      <c r="R1473" s="10"/>
      <c r="S1473" s="10"/>
      <c r="T1473" s="10"/>
      <c r="U1473" s="10"/>
      <c r="V1473" s="10"/>
      <c r="W1473" s="10"/>
      <c r="X1473" s="10"/>
      <c r="Y1473" s="10"/>
    </row>
    <row r="1474" spans="1:25" ht="16.5" customHeight="1" x14ac:dyDescent="0.2">
      <c r="A1474" s="403" t="s">
        <v>673</v>
      </c>
      <c r="B1474" s="404"/>
      <c r="C1474" s="405"/>
      <c r="D1474" s="148"/>
      <c r="E1474" s="148"/>
      <c r="F1474" s="148"/>
      <c r="G1474" s="148">
        <v>21</v>
      </c>
      <c r="H1474" s="148"/>
      <c r="I1474" s="148"/>
      <c r="J1474" s="170">
        <f t="shared" si="86"/>
        <v>21</v>
      </c>
      <c r="L1474" s="10"/>
      <c r="M1474" s="10"/>
      <c r="N1474" s="10"/>
      <c r="O1474" s="10"/>
      <c r="P1474" s="10"/>
      <c r="Q1474" s="10"/>
      <c r="R1474" s="10"/>
      <c r="S1474" s="10"/>
      <c r="T1474" s="10"/>
      <c r="U1474" s="10"/>
      <c r="V1474" s="10"/>
      <c r="W1474" s="10"/>
      <c r="X1474" s="10"/>
      <c r="Y1474" s="10"/>
    </row>
    <row r="1475" spans="1:25" ht="16.5" customHeight="1" x14ac:dyDescent="0.2">
      <c r="A1475" s="403" t="s">
        <v>674</v>
      </c>
      <c r="B1475" s="404"/>
      <c r="C1475" s="405"/>
      <c r="D1475" s="148"/>
      <c r="E1475" s="148"/>
      <c r="F1475" s="148"/>
      <c r="G1475" s="148">
        <v>21</v>
      </c>
      <c r="H1475" s="148"/>
      <c r="I1475" s="148"/>
      <c r="J1475" s="170">
        <f t="shared" si="86"/>
        <v>21</v>
      </c>
      <c r="L1475" s="10"/>
      <c r="M1475" s="10"/>
      <c r="N1475" s="10"/>
      <c r="O1475" s="10"/>
      <c r="P1475" s="10"/>
      <c r="Q1475" s="10"/>
      <c r="R1475" s="10"/>
      <c r="S1475" s="10"/>
      <c r="T1475" s="10"/>
      <c r="U1475" s="10"/>
      <c r="V1475" s="10"/>
      <c r="W1475" s="10"/>
      <c r="X1475" s="10"/>
      <c r="Y1475" s="10"/>
    </row>
    <row r="1476" spans="1:25" ht="16.5" customHeight="1" x14ac:dyDescent="0.2">
      <c r="A1476" s="403" t="s">
        <v>816</v>
      </c>
      <c r="B1476" s="404"/>
      <c r="C1476" s="405"/>
      <c r="D1476" s="148"/>
      <c r="E1476" s="148"/>
      <c r="F1476" s="148"/>
      <c r="G1476" s="148">
        <v>21</v>
      </c>
      <c r="H1476" s="148"/>
      <c r="I1476" s="148"/>
      <c r="J1476" s="170">
        <f t="shared" si="86"/>
        <v>21</v>
      </c>
      <c r="L1476" s="10"/>
      <c r="M1476" s="10"/>
      <c r="N1476" s="10"/>
      <c r="O1476" s="10"/>
      <c r="P1476" s="10"/>
      <c r="Q1476" s="10"/>
      <c r="R1476" s="10"/>
      <c r="S1476" s="10"/>
      <c r="T1476" s="10"/>
      <c r="U1476" s="10"/>
      <c r="V1476" s="10"/>
      <c r="W1476" s="10"/>
      <c r="X1476" s="10"/>
      <c r="Y1476" s="10"/>
    </row>
    <row r="1477" spans="1:25" ht="16.5" customHeight="1" x14ac:dyDescent="0.2">
      <c r="A1477" s="403" t="s">
        <v>676</v>
      </c>
      <c r="B1477" s="404"/>
      <c r="C1477" s="405"/>
      <c r="D1477" s="148"/>
      <c r="E1477" s="148"/>
      <c r="F1477" s="148"/>
      <c r="G1477" s="148">
        <v>21</v>
      </c>
      <c r="H1477" s="148"/>
      <c r="I1477" s="148"/>
      <c r="J1477" s="170">
        <f t="shared" si="86"/>
        <v>21</v>
      </c>
      <c r="L1477" s="10"/>
      <c r="M1477" s="10"/>
      <c r="N1477" s="10"/>
      <c r="O1477" s="10"/>
      <c r="P1477" s="10"/>
      <c r="Q1477" s="10"/>
      <c r="R1477" s="10"/>
      <c r="S1477" s="10"/>
      <c r="T1477" s="10"/>
      <c r="U1477" s="10"/>
      <c r="V1477" s="10"/>
      <c r="W1477" s="10"/>
      <c r="X1477" s="10"/>
      <c r="Y1477" s="10"/>
    </row>
    <row r="1478" spans="1:25" ht="16.5" customHeight="1" x14ac:dyDescent="0.2">
      <c r="A1478" s="403" t="s">
        <v>677</v>
      </c>
      <c r="B1478" s="404"/>
      <c r="C1478" s="405"/>
      <c r="D1478" s="148"/>
      <c r="E1478" s="148"/>
      <c r="F1478" s="148"/>
      <c r="G1478" s="148">
        <v>21</v>
      </c>
      <c r="H1478" s="148"/>
      <c r="I1478" s="148"/>
      <c r="J1478" s="170">
        <f t="shared" si="86"/>
        <v>21</v>
      </c>
      <c r="L1478" s="10"/>
      <c r="M1478" s="10"/>
      <c r="N1478" s="10"/>
      <c r="O1478" s="10"/>
      <c r="P1478" s="10"/>
      <c r="Q1478" s="10"/>
      <c r="R1478" s="10"/>
      <c r="S1478" s="10"/>
      <c r="T1478" s="10"/>
      <c r="U1478" s="10"/>
      <c r="V1478" s="10"/>
      <c r="W1478" s="10"/>
      <c r="X1478" s="10"/>
      <c r="Y1478" s="10"/>
    </row>
    <row r="1479" spans="1:25" ht="16.5" customHeight="1" x14ac:dyDescent="0.2">
      <c r="A1479" s="403" t="s">
        <v>678</v>
      </c>
      <c r="B1479" s="404"/>
      <c r="C1479" s="405"/>
      <c r="D1479" s="148"/>
      <c r="E1479" s="148"/>
      <c r="F1479" s="148"/>
      <c r="G1479" s="148">
        <v>21</v>
      </c>
      <c r="H1479" s="148"/>
      <c r="I1479" s="148"/>
      <c r="J1479" s="170">
        <f t="shared" si="86"/>
        <v>21</v>
      </c>
      <c r="L1479" s="10"/>
      <c r="M1479" s="10"/>
      <c r="N1479" s="10"/>
      <c r="O1479" s="10"/>
      <c r="P1479" s="10"/>
      <c r="Q1479" s="10"/>
      <c r="R1479" s="10"/>
      <c r="S1479" s="10"/>
      <c r="T1479" s="10"/>
      <c r="U1479" s="10"/>
      <c r="V1479" s="10"/>
      <c r="W1479" s="10"/>
      <c r="X1479" s="10"/>
      <c r="Y1479" s="10"/>
    </row>
    <row r="1480" spans="1:25" ht="16.5" customHeight="1" x14ac:dyDescent="0.2">
      <c r="A1480" s="403" t="s">
        <v>679</v>
      </c>
      <c r="B1480" s="404"/>
      <c r="C1480" s="405"/>
      <c r="D1480" s="148"/>
      <c r="E1480" s="148"/>
      <c r="F1480" s="148"/>
      <c r="G1480" s="148">
        <v>21</v>
      </c>
      <c r="H1480" s="148"/>
      <c r="I1480" s="148"/>
      <c r="J1480" s="170">
        <f t="shared" si="86"/>
        <v>21</v>
      </c>
      <c r="L1480" s="10"/>
      <c r="M1480" s="10"/>
      <c r="N1480" s="10"/>
      <c r="O1480" s="10"/>
      <c r="P1480" s="10"/>
      <c r="Q1480" s="10"/>
      <c r="R1480" s="10"/>
      <c r="S1480" s="10"/>
      <c r="T1480" s="10"/>
      <c r="U1480" s="10"/>
      <c r="V1480" s="10"/>
      <c r="W1480" s="10"/>
      <c r="X1480" s="10"/>
      <c r="Y1480" s="10"/>
    </row>
    <row r="1481" spans="1:25" ht="16.5" customHeight="1" x14ac:dyDescent="0.2">
      <c r="A1481" s="403" t="s">
        <v>769</v>
      </c>
      <c r="B1481" s="404"/>
      <c r="C1481" s="405"/>
      <c r="D1481" s="148"/>
      <c r="E1481" s="148"/>
      <c r="F1481" s="148"/>
      <c r="G1481" s="148">
        <v>21</v>
      </c>
      <c r="H1481" s="148"/>
      <c r="I1481" s="148"/>
      <c r="J1481" s="170">
        <f t="shared" si="86"/>
        <v>21</v>
      </c>
      <c r="L1481" s="10"/>
      <c r="M1481" s="10"/>
      <c r="N1481" s="10"/>
      <c r="O1481" s="10"/>
      <c r="P1481" s="10"/>
      <c r="Q1481" s="10"/>
      <c r="R1481" s="10"/>
      <c r="S1481" s="10"/>
      <c r="T1481" s="10"/>
      <c r="U1481" s="10"/>
      <c r="V1481" s="10"/>
      <c r="W1481" s="10"/>
      <c r="X1481" s="10"/>
      <c r="Y1481" s="10"/>
    </row>
    <row r="1482" spans="1:25" ht="16.5" customHeight="1" x14ac:dyDescent="0.2">
      <c r="A1482" s="403" t="s">
        <v>681</v>
      </c>
      <c r="B1482" s="404"/>
      <c r="C1482" s="405"/>
      <c r="D1482" s="148"/>
      <c r="E1482" s="148"/>
      <c r="F1482" s="148"/>
      <c r="G1482" s="148">
        <v>21</v>
      </c>
      <c r="H1482" s="148"/>
      <c r="I1482" s="148"/>
      <c r="J1482" s="170">
        <f t="shared" si="86"/>
        <v>21</v>
      </c>
      <c r="L1482" s="10"/>
      <c r="M1482" s="10"/>
      <c r="N1482" s="10"/>
      <c r="O1482" s="10"/>
      <c r="P1482" s="10"/>
      <c r="Q1482" s="10"/>
      <c r="R1482" s="10"/>
      <c r="S1482" s="10"/>
      <c r="T1482" s="10"/>
      <c r="U1482" s="10"/>
      <c r="V1482" s="10"/>
      <c r="W1482" s="10"/>
      <c r="X1482" s="10"/>
      <c r="Y1482" s="10"/>
    </row>
    <row r="1483" spans="1:25" ht="16.5" customHeight="1" x14ac:dyDescent="0.2">
      <c r="A1483" s="403" t="s">
        <v>682</v>
      </c>
      <c r="B1483" s="404"/>
      <c r="C1483" s="405"/>
      <c r="D1483" s="148"/>
      <c r="E1483" s="148"/>
      <c r="F1483" s="148"/>
      <c r="G1483" s="148">
        <v>21</v>
      </c>
      <c r="H1483" s="148"/>
      <c r="I1483" s="148"/>
      <c r="J1483" s="170">
        <f t="shared" si="86"/>
        <v>21</v>
      </c>
      <c r="L1483" s="10"/>
      <c r="M1483" s="10"/>
      <c r="N1483" s="10"/>
      <c r="O1483" s="10"/>
      <c r="P1483" s="10"/>
      <c r="Q1483" s="10"/>
      <c r="R1483" s="10"/>
      <c r="S1483" s="10"/>
      <c r="T1483" s="10"/>
      <c r="U1483" s="10"/>
      <c r="V1483" s="10"/>
      <c r="W1483" s="10"/>
      <c r="X1483" s="10"/>
      <c r="Y1483" s="10"/>
    </row>
    <row r="1484" spans="1:25" ht="16.5" customHeight="1" x14ac:dyDescent="0.2">
      <c r="A1484" s="403" t="s">
        <v>683</v>
      </c>
      <c r="B1484" s="404"/>
      <c r="C1484" s="405"/>
      <c r="D1484" s="148"/>
      <c r="E1484" s="148"/>
      <c r="F1484" s="148"/>
      <c r="G1484" s="148">
        <v>21</v>
      </c>
      <c r="H1484" s="148"/>
      <c r="I1484" s="148"/>
      <c r="J1484" s="170">
        <f t="shared" si="86"/>
        <v>21</v>
      </c>
      <c r="L1484" s="10"/>
      <c r="M1484" s="10"/>
      <c r="N1484" s="10"/>
      <c r="O1484" s="10"/>
      <c r="P1484" s="10"/>
      <c r="Q1484" s="10"/>
      <c r="R1484" s="10"/>
      <c r="S1484" s="10"/>
      <c r="T1484" s="10"/>
      <c r="U1484" s="10"/>
      <c r="V1484" s="10"/>
      <c r="W1484" s="10"/>
      <c r="X1484" s="10"/>
      <c r="Y1484" s="10"/>
    </row>
    <row r="1485" spans="1:25" ht="16.5" customHeight="1" x14ac:dyDescent="0.2">
      <c r="A1485" s="403" t="s">
        <v>817</v>
      </c>
      <c r="B1485" s="404"/>
      <c r="C1485" s="405"/>
      <c r="D1485" s="148"/>
      <c r="E1485" s="148"/>
      <c r="F1485" s="148"/>
      <c r="G1485" s="148">
        <v>21</v>
      </c>
      <c r="H1485" s="148"/>
      <c r="I1485" s="148"/>
      <c r="J1485" s="170">
        <f t="shared" si="86"/>
        <v>21</v>
      </c>
      <c r="L1485" s="10"/>
      <c r="M1485" s="10"/>
      <c r="N1485" s="10"/>
      <c r="O1485" s="10"/>
      <c r="P1485" s="10"/>
      <c r="Q1485" s="10"/>
      <c r="R1485" s="10"/>
      <c r="S1485" s="10"/>
      <c r="T1485" s="10"/>
      <c r="U1485" s="10"/>
      <c r="V1485" s="10"/>
      <c r="W1485" s="10"/>
      <c r="X1485" s="10"/>
      <c r="Y1485" s="10"/>
    </row>
    <row r="1486" spans="1:25" ht="16.5" customHeight="1" x14ac:dyDescent="0.2">
      <c r="A1486" s="403" t="s">
        <v>792</v>
      </c>
      <c r="B1486" s="404"/>
      <c r="C1486" s="405"/>
      <c r="D1486" s="148"/>
      <c r="E1486" s="148"/>
      <c r="F1486" s="148"/>
      <c r="G1486" s="148">
        <v>21</v>
      </c>
      <c r="H1486" s="148"/>
      <c r="I1486" s="148"/>
      <c r="J1486" s="170">
        <f t="shared" si="86"/>
        <v>21</v>
      </c>
      <c r="L1486" s="10"/>
      <c r="M1486" s="10"/>
      <c r="N1486" s="10"/>
      <c r="O1486" s="10"/>
      <c r="P1486" s="10"/>
      <c r="Q1486" s="10"/>
      <c r="R1486" s="10"/>
      <c r="S1486" s="10"/>
      <c r="T1486" s="10"/>
      <c r="U1486" s="10"/>
      <c r="V1486" s="10"/>
      <c r="W1486" s="10"/>
      <c r="X1486" s="10"/>
      <c r="Y1486" s="10"/>
    </row>
    <row r="1487" spans="1:25" ht="16.5" customHeight="1" x14ac:dyDescent="0.2">
      <c r="A1487" s="403" t="s">
        <v>687</v>
      </c>
      <c r="B1487" s="404"/>
      <c r="C1487" s="405"/>
      <c r="D1487" s="148"/>
      <c r="E1487" s="148"/>
      <c r="F1487" s="148"/>
      <c r="G1487" s="148">
        <v>21</v>
      </c>
      <c r="H1487" s="148"/>
      <c r="I1487" s="148"/>
      <c r="J1487" s="170">
        <f t="shared" si="86"/>
        <v>21</v>
      </c>
      <c r="L1487" s="10"/>
      <c r="M1487" s="10"/>
      <c r="N1487" s="10"/>
      <c r="O1487" s="10"/>
      <c r="P1487" s="10"/>
      <c r="Q1487" s="10"/>
      <c r="R1487" s="10"/>
      <c r="S1487" s="10"/>
      <c r="T1487" s="10"/>
      <c r="U1487" s="10"/>
      <c r="V1487" s="10"/>
      <c r="W1487" s="10"/>
      <c r="X1487" s="10"/>
      <c r="Y1487" s="10"/>
    </row>
    <row r="1488" spans="1:25" ht="16.5" customHeight="1" x14ac:dyDescent="0.2">
      <c r="A1488" s="342" t="str">
        <f>"TOTAL - "&amp;'Planilha orçamentária'!F100</f>
        <v>TOTAL - UN</v>
      </c>
      <c r="B1488" s="342"/>
      <c r="C1488" s="342"/>
      <c r="D1488" s="342"/>
      <c r="E1488" s="342"/>
      <c r="F1488" s="342"/>
      <c r="G1488" s="342"/>
      <c r="H1488" s="342"/>
      <c r="I1488" s="342"/>
      <c r="J1488" s="149">
        <f>SUM(J1472:J1487)</f>
        <v>336</v>
      </c>
      <c r="K1488" s="10"/>
      <c r="L1488" s="10"/>
      <c r="M1488" s="10"/>
      <c r="N1488" s="10"/>
      <c r="O1488" s="10"/>
      <c r="P1488" s="10"/>
      <c r="Q1488" s="10"/>
      <c r="R1488" s="10"/>
      <c r="S1488" s="10"/>
      <c r="T1488" s="10"/>
      <c r="U1488" s="10"/>
      <c r="V1488" s="10"/>
      <c r="W1488" s="10"/>
      <c r="X1488" s="10"/>
      <c r="Y1488" s="10"/>
    </row>
    <row r="1489" spans="1:25" ht="16.5" customHeight="1" x14ac:dyDescent="0.2">
      <c r="A1489" s="184" t="str">
        <f>'Planilha orçamentária'!A101</f>
        <v>13.3</v>
      </c>
      <c r="B1489" s="343" t="str">
        <f>'Planilha orçamentária'!D101</f>
        <v>Registro de pressão, tipo base, roscável 3/4" (para tubo soldável ou PPR DN 25mm/CPVC DN 22mm), inclusive acabamento (padrão médio) e canopla cromados</v>
      </c>
      <c r="C1489" s="344"/>
      <c r="D1489" s="344"/>
      <c r="E1489" s="344"/>
      <c r="F1489" s="344"/>
      <c r="G1489" s="344"/>
      <c r="H1489" s="344"/>
      <c r="I1489" s="344"/>
      <c r="J1489" s="344"/>
      <c r="K1489" s="10"/>
      <c r="L1489" s="10"/>
      <c r="M1489" s="10"/>
      <c r="N1489" s="10"/>
      <c r="O1489" s="10"/>
      <c r="P1489" s="10"/>
      <c r="Q1489" s="10"/>
      <c r="R1489" s="10"/>
      <c r="S1489" s="10"/>
      <c r="T1489" s="10"/>
      <c r="U1489" s="10"/>
      <c r="V1489" s="10"/>
      <c r="W1489" s="10"/>
      <c r="X1489" s="10"/>
      <c r="Y1489" s="10"/>
    </row>
    <row r="1490" spans="1:25" ht="16.5" customHeight="1" x14ac:dyDescent="0.2">
      <c r="A1490" s="327" t="s">
        <v>120</v>
      </c>
      <c r="B1490" s="328"/>
      <c r="C1490" s="328"/>
      <c r="D1490" s="182" t="s">
        <v>121</v>
      </c>
      <c r="E1490" s="182" t="s">
        <v>122</v>
      </c>
      <c r="F1490" s="181" t="s">
        <v>123</v>
      </c>
      <c r="G1490" s="181" t="s">
        <v>124</v>
      </c>
      <c r="H1490" s="181" t="s">
        <v>125</v>
      </c>
      <c r="I1490" s="182" t="s">
        <v>126</v>
      </c>
      <c r="J1490" s="182" t="s">
        <v>113</v>
      </c>
      <c r="K1490" s="10"/>
      <c r="L1490" s="10"/>
      <c r="M1490" s="10"/>
      <c r="N1490" s="10"/>
      <c r="O1490" s="10"/>
      <c r="P1490" s="10"/>
      <c r="Q1490" s="10"/>
      <c r="R1490" s="10"/>
      <c r="S1490" s="10"/>
      <c r="T1490" s="10"/>
      <c r="U1490" s="10"/>
      <c r="V1490" s="10"/>
      <c r="W1490" s="10"/>
      <c r="X1490" s="10"/>
      <c r="Y1490" s="10"/>
    </row>
    <row r="1491" spans="1:25" ht="16.5" customHeight="1" x14ac:dyDescent="0.2">
      <c r="A1491" s="403" t="s">
        <v>671</v>
      </c>
      <c r="B1491" s="404"/>
      <c r="C1491" s="405"/>
      <c r="D1491" s="148"/>
      <c r="E1491" s="148"/>
      <c r="F1491" s="148"/>
      <c r="G1491" s="148">
        <v>7</v>
      </c>
      <c r="H1491" s="148"/>
      <c r="I1491" s="148"/>
      <c r="J1491" s="170">
        <f t="shared" ref="J1491:J1506" si="87">PRODUCT(D1491:H1491)-I1491</f>
        <v>7</v>
      </c>
      <c r="L1491" s="10"/>
      <c r="M1491" s="10"/>
      <c r="N1491" s="10"/>
      <c r="O1491" s="10"/>
      <c r="P1491" s="10"/>
      <c r="Q1491" s="10"/>
      <c r="R1491" s="10"/>
      <c r="S1491" s="10"/>
      <c r="T1491" s="10"/>
      <c r="U1491" s="10"/>
      <c r="V1491" s="10"/>
      <c r="W1491" s="10"/>
      <c r="X1491" s="10"/>
      <c r="Y1491" s="10"/>
    </row>
    <row r="1492" spans="1:25" ht="16.5" customHeight="1" x14ac:dyDescent="0.2">
      <c r="A1492" s="403" t="s">
        <v>672</v>
      </c>
      <c r="B1492" s="404"/>
      <c r="C1492" s="405"/>
      <c r="D1492" s="148"/>
      <c r="E1492" s="148"/>
      <c r="F1492" s="148"/>
      <c r="G1492" s="148">
        <v>7</v>
      </c>
      <c r="H1492" s="148"/>
      <c r="I1492" s="148"/>
      <c r="J1492" s="170">
        <f t="shared" si="87"/>
        <v>7</v>
      </c>
      <c r="L1492" s="10"/>
      <c r="M1492" s="10"/>
      <c r="N1492" s="10"/>
      <c r="O1492" s="10"/>
      <c r="P1492" s="10"/>
      <c r="Q1492" s="10"/>
      <c r="R1492" s="10"/>
      <c r="S1492" s="10"/>
      <c r="T1492" s="10"/>
      <c r="U1492" s="10"/>
      <c r="V1492" s="10"/>
      <c r="W1492" s="10"/>
      <c r="X1492" s="10"/>
      <c r="Y1492" s="10"/>
    </row>
    <row r="1493" spans="1:25" ht="16.5" customHeight="1" x14ac:dyDescent="0.2">
      <c r="A1493" s="403" t="s">
        <v>673</v>
      </c>
      <c r="B1493" s="404"/>
      <c r="C1493" s="405"/>
      <c r="D1493" s="148"/>
      <c r="E1493" s="148"/>
      <c r="F1493" s="148"/>
      <c r="G1493" s="148">
        <v>7</v>
      </c>
      <c r="H1493" s="148"/>
      <c r="I1493" s="148"/>
      <c r="J1493" s="170">
        <f t="shared" si="87"/>
        <v>7</v>
      </c>
      <c r="L1493" s="10"/>
      <c r="M1493" s="10"/>
      <c r="N1493" s="10"/>
      <c r="O1493" s="10"/>
      <c r="P1493" s="10"/>
      <c r="Q1493" s="10"/>
      <c r="R1493" s="10"/>
      <c r="S1493" s="10"/>
      <c r="T1493" s="10"/>
      <c r="U1493" s="10"/>
      <c r="V1493" s="10"/>
      <c r="W1493" s="10"/>
      <c r="X1493" s="10"/>
      <c r="Y1493" s="10"/>
    </row>
    <row r="1494" spans="1:25" ht="16.5" customHeight="1" x14ac:dyDescent="0.2">
      <c r="A1494" s="403" t="s">
        <v>674</v>
      </c>
      <c r="B1494" s="404"/>
      <c r="C1494" s="405"/>
      <c r="D1494" s="148"/>
      <c r="E1494" s="148"/>
      <c r="F1494" s="148"/>
      <c r="G1494" s="148">
        <v>7</v>
      </c>
      <c r="H1494" s="148"/>
      <c r="I1494" s="148"/>
      <c r="J1494" s="170">
        <f t="shared" si="87"/>
        <v>7</v>
      </c>
      <c r="L1494" s="10"/>
      <c r="M1494" s="10"/>
      <c r="N1494" s="10"/>
      <c r="O1494" s="10"/>
      <c r="P1494" s="10"/>
      <c r="Q1494" s="10"/>
      <c r="R1494" s="10"/>
      <c r="S1494" s="10"/>
      <c r="T1494" s="10"/>
      <c r="U1494" s="10"/>
      <c r="V1494" s="10"/>
      <c r="W1494" s="10"/>
      <c r="X1494" s="10"/>
      <c r="Y1494" s="10"/>
    </row>
    <row r="1495" spans="1:25" ht="16.5" customHeight="1" x14ac:dyDescent="0.2">
      <c r="A1495" s="403" t="s">
        <v>816</v>
      </c>
      <c r="B1495" s="404"/>
      <c r="C1495" s="405"/>
      <c r="D1495" s="148"/>
      <c r="E1495" s="148"/>
      <c r="F1495" s="148"/>
      <c r="G1495" s="148">
        <v>7</v>
      </c>
      <c r="H1495" s="148"/>
      <c r="I1495" s="148"/>
      <c r="J1495" s="170">
        <f t="shared" si="87"/>
        <v>7</v>
      </c>
      <c r="L1495" s="10"/>
      <c r="M1495" s="10"/>
      <c r="N1495" s="10"/>
      <c r="O1495" s="10"/>
      <c r="P1495" s="10"/>
      <c r="Q1495" s="10"/>
      <c r="R1495" s="10"/>
      <c r="S1495" s="10"/>
      <c r="T1495" s="10"/>
      <c r="U1495" s="10"/>
      <c r="V1495" s="10"/>
      <c r="W1495" s="10"/>
      <c r="X1495" s="10"/>
      <c r="Y1495" s="10"/>
    </row>
    <row r="1496" spans="1:25" ht="16.5" customHeight="1" x14ac:dyDescent="0.2">
      <c r="A1496" s="403" t="s">
        <v>676</v>
      </c>
      <c r="B1496" s="404"/>
      <c r="C1496" s="405"/>
      <c r="D1496" s="148"/>
      <c r="E1496" s="148"/>
      <c r="F1496" s="148"/>
      <c r="G1496" s="148">
        <v>7</v>
      </c>
      <c r="H1496" s="148"/>
      <c r="I1496" s="148"/>
      <c r="J1496" s="170">
        <f t="shared" si="87"/>
        <v>7</v>
      </c>
      <c r="L1496" s="10"/>
      <c r="M1496" s="10"/>
      <c r="N1496" s="10"/>
      <c r="O1496" s="10"/>
      <c r="P1496" s="10"/>
      <c r="Q1496" s="10"/>
      <c r="R1496" s="10"/>
      <c r="S1496" s="10"/>
      <c r="T1496" s="10"/>
      <c r="U1496" s="10"/>
      <c r="V1496" s="10"/>
      <c r="W1496" s="10"/>
      <c r="X1496" s="10"/>
      <c r="Y1496" s="10"/>
    </row>
    <row r="1497" spans="1:25" ht="16.5" customHeight="1" x14ac:dyDescent="0.2">
      <c r="A1497" s="403" t="s">
        <v>677</v>
      </c>
      <c r="B1497" s="404"/>
      <c r="C1497" s="405"/>
      <c r="D1497" s="148"/>
      <c r="E1497" s="148"/>
      <c r="F1497" s="148"/>
      <c r="G1497" s="148">
        <v>7</v>
      </c>
      <c r="H1497" s="148"/>
      <c r="I1497" s="148"/>
      <c r="J1497" s="170">
        <f t="shared" si="87"/>
        <v>7</v>
      </c>
      <c r="L1497" s="10"/>
      <c r="M1497" s="10"/>
      <c r="N1497" s="10"/>
      <c r="O1497" s="10"/>
      <c r="P1497" s="10"/>
      <c r="Q1497" s="10"/>
      <c r="R1497" s="10"/>
      <c r="S1497" s="10"/>
      <c r="T1497" s="10"/>
      <c r="U1497" s="10"/>
      <c r="V1497" s="10"/>
      <c r="W1497" s="10"/>
      <c r="X1497" s="10"/>
      <c r="Y1497" s="10"/>
    </row>
    <row r="1498" spans="1:25" ht="16.5" customHeight="1" x14ac:dyDescent="0.2">
      <c r="A1498" s="403" t="s">
        <v>678</v>
      </c>
      <c r="B1498" s="404"/>
      <c r="C1498" s="405"/>
      <c r="D1498" s="148"/>
      <c r="E1498" s="148"/>
      <c r="F1498" s="148"/>
      <c r="G1498" s="148">
        <v>7</v>
      </c>
      <c r="H1498" s="148"/>
      <c r="I1498" s="148"/>
      <c r="J1498" s="170">
        <f t="shared" si="87"/>
        <v>7</v>
      </c>
      <c r="L1498" s="10"/>
      <c r="M1498" s="10"/>
      <c r="N1498" s="10"/>
      <c r="O1498" s="10"/>
      <c r="P1498" s="10"/>
      <c r="Q1498" s="10"/>
      <c r="R1498" s="10"/>
      <c r="S1498" s="10"/>
      <c r="T1498" s="10"/>
      <c r="U1498" s="10"/>
      <c r="V1498" s="10"/>
      <c r="W1498" s="10"/>
      <c r="X1498" s="10"/>
      <c r="Y1498" s="10"/>
    </row>
    <row r="1499" spans="1:25" ht="16.5" customHeight="1" x14ac:dyDescent="0.2">
      <c r="A1499" s="403" t="s">
        <v>679</v>
      </c>
      <c r="B1499" s="404"/>
      <c r="C1499" s="405"/>
      <c r="D1499" s="148"/>
      <c r="E1499" s="148"/>
      <c r="F1499" s="148"/>
      <c r="G1499" s="148">
        <v>7</v>
      </c>
      <c r="H1499" s="148"/>
      <c r="I1499" s="148"/>
      <c r="J1499" s="170">
        <f t="shared" si="87"/>
        <v>7</v>
      </c>
      <c r="L1499" s="10"/>
      <c r="M1499" s="10"/>
      <c r="N1499" s="10"/>
      <c r="O1499" s="10"/>
      <c r="P1499" s="10"/>
      <c r="Q1499" s="10"/>
      <c r="R1499" s="10"/>
      <c r="S1499" s="10"/>
      <c r="T1499" s="10"/>
      <c r="U1499" s="10"/>
      <c r="V1499" s="10"/>
      <c r="W1499" s="10"/>
      <c r="X1499" s="10"/>
      <c r="Y1499" s="10"/>
    </row>
    <row r="1500" spans="1:25" ht="16.5" customHeight="1" x14ac:dyDescent="0.2">
      <c r="A1500" s="403" t="s">
        <v>769</v>
      </c>
      <c r="B1500" s="404"/>
      <c r="C1500" s="405"/>
      <c r="D1500" s="148"/>
      <c r="E1500" s="148"/>
      <c r="F1500" s="148"/>
      <c r="G1500" s="148">
        <v>7</v>
      </c>
      <c r="H1500" s="148"/>
      <c r="I1500" s="148"/>
      <c r="J1500" s="170">
        <f t="shared" si="87"/>
        <v>7</v>
      </c>
      <c r="L1500" s="10"/>
      <c r="M1500" s="10"/>
      <c r="N1500" s="10"/>
      <c r="O1500" s="10"/>
      <c r="P1500" s="10"/>
      <c r="Q1500" s="10"/>
      <c r="R1500" s="10"/>
      <c r="S1500" s="10"/>
      <c r="T1500" s="10"/>
      <c r="U1500" s="10"/>
      <c r="V1500" s="10"/>
      <c r="W1500" s="10"/>
      <c r="X1500" s="10"/>
      <c r="Y1500" s="10"/>
    </row>
    <row r="1501" spans="1:25" ht="16.5" customHeight="1" x14ac:dyDescent="0.2">
      <c r="A1501" s="403" t="s">
        <v>681</v>
      </c>
      <c r="B1501" s="404"/>
      <c r="C1501" s="405"/>
      <c r="D1501" s="148"/>
      <c r="E1501" s="148"/>
      <c r="F1501" s="148"/>
      <c r="G1501" s="148">
        <v>7</v>
      </c>
      <c r="H1501" s="148"/>
      <c r="I1501" s="148"/>
      <c r="J1501" s="170">
        <f t="shared" si="87"/>
        <v>7</v>
      </c>
      <c r="L1501" s="10"/>
      <c r="M1501" s="10"/>
      <c r="N1501" s="10"/>
      <c r="O1501" s="10"/>
      <c r="P1501" s="10"/>
      <c r="Q1501" s="10"/>
      <c r="R1501" s="10"/>
      <c r="S1501" s="10"/>
      <c r="T1501" s="10"/>
      <c r="U1501" s="10"/>
      <c r="V1501" s="10"/>
      <c r="W1501" s="10"/>
      <c r="X1501" s="10"/>
      <c r="Y1501" s="10"/>
    </row>
    <row r="1502" spans="1:25" ht="16.5" customHeight="1" x14ac:dyDescent="0.2">
      <c r="A1502" s="403" t="s">
        <v>682</v>
      </c>
      <c r="B1502" s="404"/>
      <c r="C1502" s="405"/>
      <c r="D1502" s="148"/>
      <c r="E1502" s="148"/>
      <c r="F1502" s="148"/>
      <c r="G1502" s="148">
        <v>7</v>
      </c>
      <c r="H1502" s="148"/>
      <c r="I1502" s="148"/>
      <c r="J1502" s="170">
        <f t="shared" si="87"/>
        <v>7</v>
      </c>
      <c r="L1502" s="10"/>
      <c r="M1502" s="10"/>
      <c r="N1502" s="10"/>
      <c r="O1502" s="10"/>
      <c r="P1502" s="10"/>
      <c r="Q1502" s="10"/>
      <c r="R1502" s="10"/>
      <c r="S1502" s="10"/>
      <c r="T1502" s="10"/>
      <c r="U1502" s="10"/>
      <c r="V1502" s="10"/>
      <c r="W1502" s="10"/>
      <c r="X1502" s="10"/>
      <c r="Y1502" s="10"/>
    </row>
    <row r="1503" spans="1:25" ht="16.5" customHeight="1" x14ac:dyDescent="0.2">
      <c r="A1503" s="403" t="s">
        <v>683</v>
      </c>
      <c r="B1503" s="404"/>
      <c r="C1503" s="405"/>
      <c r="D1503" s="148"/>
      <c r="E1503" s="148"/>
      <c r="F1503" s="148"/>
      <c r="G1503" s="148">
        <v>7</v>
      </c>
      <c r="H1503" s="148"/>
      <c r="I1503" s="148"/>
      <c r="J1503" s="170">
        <f t="shared" si="87"/>
        <v>7</v>
      </c>
      <c r="L1503" s="10"/>
      <c r="M1503" s="10"/>
      <c r="N1503" s="10"/>
      <c r="O1503" s="10"/>
      <c r="P1503" s="10"/>
      <c r="Q1503" s="10"/>
      <c r="R1503" s="10"/>
      <c r="S1503" s="10"/>
      <c r="T1503" s="10"/>
      <c r="U1503" s="10"/>
      <c r="V1503" s="10"/>
      <c r="W1503" s="10"/>
      <c r="X1503" s="10"/>
      <c r="Y1503" s="10"/>
    </row>
    <row r="1504" spans="1:25" ht="16.5" customHeight="1" x14ac:dyDescent="0.2">
      <c r="A1504" s="403" t="s">
        <v>817</v>
      </c>
      <c r="B1504" s="404"/>
      <c r="C1504" s="405"/>
      <c r="D1504" s="148"/>
      <c r="E1504" s="148"/>
      <c r="F1504" s="148"/>
      <c r="G1504" s="148">
        <v>7</v>
      </c>
      <c r="H1504" s="148"/>
      <c r="I1504" s="148"/>
      <c r="J1504" s="170">
        <f t="shared" si="87"/>
        <v>7</v>
      </c>
      <c r="L1504" s="10"/>
      <c r="M1504" s="10"/>
      <c r="N1504" s="10"/>
      <c r="O1504" s="10"/>
      <c r="P1504" s="10"/>
      <c r="Q1504" s="10"/>
      <c r="R1504" s="10"/>
      <c r="S1504" s="10"/>
      <c r="T1504" s="10"/>
      <c r="U1504" s="10"/>
      <c r="V1504" s="10"/>
      <c r="W1504" s="10"/>
      <c r="X1504" s="10"/>
      <c r="Y1504" s="10"/>
    </row>
    <row r="1505" spans="1:25" ht="16.5" customHeight="1" x14ac:dyDescent="0.2">
      <c r="A1505" s="403" t="s">
        <v>792</v>
      </c>
      <c r="B1505" s="404"/>
      <c r="C1505" s="405"/>
      <c r="D1505" s="148"/>
      <c r="E1505" s="148"/>
      <c r="F1505" s="148"/>
      <c r="G1505" s="148">
        <v>7</v>
      </c>
      <c r="H1505" s="148"/>
      <c r="I1505" s="148"/>
      <c r="J1505" s="170">
        <f t="shared" si="87"/>
        <v>7</v>
      </c>
      <c r="L1505" s="10"/>
      <c r="M1505" s="10"/>
      <c r="N1505" s="10"/>
      <c r="O1505" s="10"/>
      <c r="P1505" s="10"/>
      <c r="Q1505" s="10"/>
      <c r="R1505" s="10"/>
      <c r="S1505" s="10"/>
      <c r="T1505" s="10"/>
      <c r="U1505" s="10"/>
      <c r="V1505" s="10"/>
      <c r="W1505" s="10"/>
      <c r="X1505" s="10"/>
      <c r="Y1505" s="10"/>
    </row>
    <row r="1506" spans="1:25" ht="16.5" customHeight="1" x14ac:dyDescent="0.2">
      <c r="A1506" s="403" t="s">
        <v>687</v>
      </c>
      <c r="B1506" s="404"/>
      <c r="C1506" s="405"/>
      <c r="D1506" s="148"/>
      <c r="E1506" s="148"/>
      <c r="F1506" s="148"/>
      <c r="G1506" s="148">
        <v>7</v>
      </c>
      <c r="H1506" s="148"/>
      <c r="I1506" s="148"/>
      <c r="J1506" s="170">
        <f t="shared" si="87"/>
        <v>7</v>
      </c>
      <c r="L1506" s="10"/>
      <c r="M1506" s="10"/>
      <c r="N1506" s="10"/>
      <c r="O1506" s="10"/>
      <c r="P1506" s="10"/>
      <c r="Q1506" s="10"/>
      <c r="R1506" s="10"/>
      <c r="S1506" s="10"/>
      <c r="T1506" s="10"/>
      <c r="U1506" s="10"/>
      <c r="V1506" s="10"/>
      <c r="W1506" s="10"/>
      <c r="X1506" s="10"/>
      <c r="Y1506" s="10"/>
    </row>
    <row r="1507" spans="1:25" ht="16.5" customHeight="1" x14ac:dyDescent="0.2">
      <c r="A1507" s="342" t="str">
        <f>"TOTAL - "&amp;'Planilha orçamentária'!F101</f>
        <v>TOTAL - UN</v>
      </c>
      <c r="B1507" s="342"/>
      <c r="C1507" s="342"/>
      <c r="D1507" s="342"/>
      <c r="E1507" s="342"/>
      <c r="F1507" s="342"/>
      <c r="G1507" s="342"/>
      <c r="H1507" s="342"/>
      <c r="I1507" s="342"/>
      <c r="J1507" s="149">
        <f>SUM(J1491:J1506)</f>
        <v>112</v>
      </c>
      <c r="K1507" s="10"/>
      <c r="L1507" s="10"/>
      <c r="M1507" s="10"/>
      <c r="N1507" s="10"/>
      <c r="O1507" s="10"/>
      <c r="P1507" s="10"/>
      <c r="Q1507" s="10"/>
      <c r="R1507" s="10"/>
      <c r="S1507" s="10"/>
      <c r="T1507" s="10"/>
      <c r="U1507" s="10"/>
      <c r="V1507" s="10"/>
      <c r="W1507" s="10"/>
      <c r="X1507" s="10"/>
      <c r="Y1507" s="10"/>
    </row>
    <row r="1508" spans="1:25" ht="16.5" customHeight="1" x14ac:dyDescent="0.2">
      <c r="A1508" s="184" t="str">
        <f>'Planilha orçamentária'!A102</f>
        <v>13.4</v>
      </c>
      <c r="B1508" s="343" t="str">
        <f>'Planilha orçamentária'!D102</f>
        <v>Registro de esfera, tipo pvc soldável DN 25mm (3/4"), inclusive volante para acionamento</v>
      </c>
      <c r="C1508" s="344"/>
      <c r="D1508" s="344"/>
      <c r="E1508" s="344"/>
      <c r="F1508" s="344"/>
      <c r="G1508" s="344"/>
      <c r="H1508" s="344"/>
      <c r="I1508" s="344"/>
      <c r="J1508" s="344"/>
      <c r="K1508" s="10"/>
      <c r="L1508" s="10"/>
      <c r="M1508" s="10"/>
      <c r="N1508" s="10"/>
      <c r="O1508" s="10"/>
      <c r="P1508" s="10"/>
      <c r="Q1508" s="10"/>
      <c r="R1508" s="10"/>
      <c r="S1508" s="10"/>
      <c r="T1508" s="10"/>
      <c r="U1508" s="10"/>
      <c r="V1508" s="10"/>
      <c r="W1508" s="10"/>
      <c r="X1508" s="10"/>
      <c r="Y1508" s="10"/>
    </row>
    <row r="1509" spans="1:25" ht="16.5" customHeight="1" x14ac:dyDescent="0.2">
      <c r="A1509" s="327" t="s">
        <v>120</v>
      </c>
      <c r="B1509" s="328"/>
      <c r="C1509" s="328"/>
      <c r="D1509" s="182" t="s">
        <v>121</v>
      </c>
      <c r="E1509" s="182" t="s">
        <v>122</v>
      </c>
      <c r="F1509" s="181" t="s">
        <v>123</v>
      </c>
      <c r="G1509" s="181" t="s">
        <v>124</v>
      </c>
      <c r="H1509" s="181" t="s">
        <v>125</v>
      </c>
      <c r="I1509" s="182" t="s">
        <v>126</v>
      </c>
      <c r="J1509" s="182" t="s">
        <v>113</v>
      </c>
      <c r="K1509" s="10"/>
      <c r="L1509" s="10"/>
      <c r="M1509" s="10"/>
      <c r="N1509" s="10"/>
      <c r="O1509" s="10"/>
      <c r="P1509" s="10"/>
      <c r="Q1509" s="10"/>
      <c r="R1509" s="10"/>
      <c r="S1509" s="10"/>
      <c r="T1509" s="10"/>
      <c r="U1509" s="10"/>
      <c r="V1509" s="10"/>
      <c r="W1509" s="10"/>
      <c r="X1509" s="10"/>
      <c r="Y1509" s="10"/>
    </row>
    <row r="1510" spans="1:25" ht="16.5" customHeight="1" x14ac:dyDescent="0.2">
      <c r="A1510" s="403" t="s">
        <v>671</v>
      </c>
      <c r="B1510" s="404"/>
      <c r="C1510" s="405"/>
      <c r="D1510" s="148"/>
      <c r="E1510" s="148"/>
      <c r="F1510" s="148"/>
      <c r="G1510" s="148">
        <v>14</v>
      </c>
      <c r="H1510" s="148"/>
      <c r="I1510" s="148"/>
      <c r="J1510" s="170">
        <f t="shared" ref="J1510:J1525" si="88">PRODUCT(D1510:H1510)-I1510</f>
        <v>14</v>
      </c>
      <c r="L1510" s="10"/>
      <c r="M1510" s="10"/>
      <c r="N1510" s="10"/>
      <c r="O1510" s="10"/>
      <c r="P1510" s="10"/>
      <c r="Q1510" s="10"/>
      <c r="R1510" s="10"/>
      <c r="S1510" s="10"/>
      <c r="T1510" s="10"/>
      <c r="U1510" s="10"/>
      <c r="V1510" s="10"/>
      <c r="W1510" s="10"/>
      <c r="X1510" s="10"/>
      <c r="Y1510" s="10"/>
    </row>
    <row r="1511" spans="1:25" ht="16.5" customHeight="1" x14ac:dyDescent="0.2">
      <c r="A1511" s="403" t="s">
        <v>672</v>
      </c>
      <c r="B1511" s="404"/>
      <c r="C1511" s="405"/>
      <c r="D1511" s="148"/>
      <c r="E1511" s="148"/>
      <c r="F1511" s="148"/>
      <c r="G1511" s="148">
        <v>14</v>
      </c>
      <c r="H1511" s="148"/>
      <c r="I1511" s="148"/>
      <c r="J1511" s="170">
        <f t="shared" si="88"/>
        <v>14</v>
      </c>
      <c r="L1511" s="10"/>
      <c r="M1511" s="10"/>
      <c r="N1511" s="10"/>
      <c r="O1511" s="10"/>
      <c r="P1511" s="10"/>
      <c r="Q1511" s="10"/>
      <c r="R1511" s="10"/>
      <c r="S1511" s="10"/>
      <c r="T1511" s="10"/>
      <c r="U1511" s="10"/>
      <c r="V1511" s="10"/>
      <c r="W1511" s="10"/>
      <c r="X1511" s="10"/>
      <c r="Y1511" s="10"/>
    </row>
    <row r="1512" spans="1:25" ht="16.5" customHeight="1" x14ac:dyDescent="0.2">
      <c r="A1512" s="403" t="s">
        <v>673</v>
      </c>
      <c r="B1512" s="404"/>
      <c r="C1512" s="405"/>
      <c r="D1512" s="148"/>
      <c r="E1512" s="148"/>
      <c r="F1512" s="148"/>
      <c r="G1512" s="148">
        <v>14</v>
      </c>
      <c r="H1512" s="148"/>
      <c r="I1512" s="148"/>
      <c r="J1512" s="170">
        <f t="shared" si="88"/>
        <v>14</v>
      </c>
      <c r="L1512" s="10"/>
      <c r="M1512" s="10"/>
      <c r="N1512" s="10"/>
      <c r="O1512" s="10"/>
      <c r="P1512" s="10"/>
      <c r="Q1512" s="10"/>
      <c r="R1512" s="10"/>
      <c r="S1512" s="10"/>
      <c r="T1512" s="10"/>
      <c r="U1512" s="10"/>
      <c r="V1512" s="10"/>
      <c r="W1512" s="10"/>
      <c r="X1512" s="10"/>
      <c r="Y1512" s="10"/>
    </row>
    <row r="1513" spans="1:25" ht="16.5" customHeight="1" x14ac:dyDescent="0.2">
      <c r="A1513" s="403" t="s">
        <v>674</v>
      </c>
      <c r="B1513" s="404"/>
      <c r="C1513" s="405"/>
      <c r="D1513" s="148"/>
      <c r="E1513" s="148"/>
      <c r="F1513" s="148"/>
      <c r="G1513" s="148">
        <v>14</v>
      </c>
      <c r="H1513" s="148"/>
      <c r="I1513" s="148"/>
      <c r="J1513" s="170">
        <f t="shared" si="88"/>
        <v>14</v>
      </c>
      <c r="L1513" s="10"/>
      <c r="M1513" s="10"/>
      <c r="N1513" s="10"/>
      <c r="O1513" s="10"/>
      <c r="P1513" s="10"/>
      <c r="Q1513" s="10"/>
      <c r="R1513" s="10"/>
      <c r="S1513" s="10"/>
      <c r="T1513" s="10"/>
      <c r="U1513" s="10"/>
      <c r="V1513" s="10"/>
      <c r="W1513" s="10"/>
      <c r="X1513" s="10"/>
      <c r="Y1513" s="10"/>
    </row>
    <row r="1514" spans="1:25" ht="16.5" customHeight="1" x14ac:dyDescent="0.2">
      <c r="A1514" s="403" t="s">
        <v>816</v>
      </c>
      <c r="B1514" s="404"/>
      <c r="C1514" s="405"/>
      <c r="D1514" s="148"/>
      <c r="E1514" s="148"/>
      <c r="F1514" s="148"/>
      <c r="G1514" s="148">
        <v>14</v>
      </c>
      <c r="H1514" s="148"/>
      <c r="I1514" s="148"/>
      <c r="J1514" s="170">
        <f t="shared" si="88"/>
        <v>14</v>
      </c>
      <c r="L1514" s="10"/>
      <c r="M1514" s="10"/>
      <c r="N1514" s="10"/>
      <c r="O1514" s="10"/>
      <c r="P1514" s="10"/>
      <c r="Q1514" s="10"/>
      <c r="R1514" s="10"/>
      <c r="S1514" s="10"/>
      <c r="T1514" s="10"/>
      <c r="U1514" s="10"/>
      <c r="V1514" s="10"/>
      <c r="W1514" s="10"/>
      <c r="X1514" s="10"/>
      <c r="Y1514" s="10"/>
    </row>
    <row r="1515" spans="1:25" ht="16.5" customHeight="1" x14ac:dyDescent="0.2">
      <c r="A1515" s="403" t="s">
        <v>676</v>
      </c>
      <c r="B1515" s="404"/>
      <c r="C1515" s="405"/>
      <c r="D1515" s="148"/>
      <c r="E1515" s="148"/>
      <c r="F1515" s="148"/>
      <c r="G1515" s="148">
        <v>14</v>
      </c>
      <c r="H1515" s="148"/>
      <c r="I1515" s="148"/>
      <c r="J1515" s="170">
        <f t="shared" si="88"/>
        <v>14</v>
      </c>
      <c r="L1515" s="10"/>
      <c r="M1515" s="10"/>
      <c r="N1515" s="10"/>
      <c r="O1515" s="10"/>
      <c r="P1515" s="10"/>
      <c r="Q1515" s="10"/>
      <c r="R1515" s="10"/>
      <c r="S1515" s="10"/>
      <c r="T1515" s="10"/>
      <c r="U1515" s="10"/>
      <c r="V1515" s="10"/>
      <c r="W1515" s="10"/>
      <c r="X1515" s="10"/>
      <c r="Y1515" s="10"/>
    </row>
    <row r="1516" spans="1:25" ht="16.5" customHeight="1" x14ac:dyDescent="0.2">
      <c r="A1516" s="403" t="s">
        <v>677</v>
      </c>
      <c r="B1516" s="404"/>
      <c r="C1516" s="405"/>
      <c r="D1516" s="148"/>
      <c r="E1516" s="148"/>
      <c r="F1516" s="148"/>
      <c r="G1516" s="148">
        <v>14</v>
      </c>
      <c r="H1516" s="148"/>
      <c r="I1516" s="148"/>
      <c r="J1516" s="170">
        <f t="shared" si="88"/>
        <v>14</v>
      </c>
      <c r="L1516" s="10"/>
      <c r="M1516" s="10"/>
      <c r="N1516" s="10"/>
      <c r="O1516" s="10"/>
      <c r="P1516" s="10"/>
      <c r="Q1516" s="10"/>
      <c r="R1516" s="10"/>
      <c r="S1516" s="10"/>
      <c r="T1516" s="10"/>
      <c r="U1516" s="10"/>
      <c r="V1516" s="10"/>
      <c r="W1516" s="10"/>
      <c r="X1516" s="10"/>
      <c r="Y1516" s="10"/>
    </row>
    <row r="1517" spans="1:25" ht="16.5" customHeight="1" x14ac:dyDescent="0.2">
      <c r="A1517" s="403" t="s">
        <v>678</v>
      </c>
      <c r="B1517" s="404"/>
      <c r="C1517" s="405"/>
      <c r="D1517" s="148"/>
      <c r="E1517" s="148"/>
      <c r="F1517" s="148"/>
      <c r="G1517" s="148">
        <v>14</v>
      </c>
      <c r="H1517" s="148"/>
      <c r="I1517" s="148"/>
      <c r="J1517" s="170">
        <f t="shared" si="88"/>
        <v>14</v>
      </c>
      <c r="L1517" s="10"/>
      <c r="M1517" s="10"/>
      <c r="N1517" s="10"/>
      <c r="O1517" s="10"/>
      <c r="P1517" s="10"/>
      <c r="Q1517" s="10"/>
      <c r="R1517" s="10"/>
      <c r="S1517" s="10"/>
      <c r="T1517" s="10"/>
      <c r="U1517" s="10"/>
      <c r="V1517" s="10"/>
      <c r="W1517" s="10"/>
      <c r="X1517" s="10"/>
      <c r="Y1517" s="10"/>
    </row>
    <row r="1518" spans="1:25" ht="16.5" customHeight="1" x14ac:dyDescent="0.2">
      <c r="A1518" s="403" t="s">
        <v>679</v>
      </c>
      <c r="B1518" s="404"/>
      <c r="C1518" s="405"/>
      <c r="D1518" s="148"/>
      <c r="E1518" s="148"/>
      <c r="F1518" s="148"/>
      <c r="G1518" s="148">
        <v>14</v>
      </c>
      <c r="H1518" s="148"/>
      <c r="I1518" s="148"/>
      <c r="J1518" s="170">
        <f t="shared" si="88"/>
        <v>14</v>
      </c>
      <c r="L1518" s="10"/>
      <c r="M1518" s="10"/>
      <c r="N1518" s="10"/>
      <c r="O1518" s="10"/>
      <c r="P1518" s="10"/>
      <c r="Q1518" s="10"/>
      <c r="R1518" s="10"/>
      <c r="S1518" s="10"/>
      <c r="T1518" s="10"/>
      <c r="U1518" s="10"/>
      <c r="V1518" s="10"/>
      <c r="W1518" s="10"/>
      <c r="X1518" s="10"/>
      <c r="Y1518" s="10"/>
    </row>
    <row r="1519" spans="1:25" ht="16.5" customHeight="1" x14ac:dyDescent="0.2">
      <c r="A1519" s="403" t="s">
        <v>769</v>
      </c>
      <c r="B1519" s="404"/>
      <c r="C1519" s="405"/>
      <c r="D1519" s="148"/>
      <c r="E1519" s="148"/>
      <c r="F1519" s="148"/>
      <c r="G1519" s="148">
        <v>14</v>
      </c>
      <c r="H1519" s="148"/>
      <c r="I1519" s="148"/>
      <c r="J1519" s="170">
        <f t="shared" si="88"/>
        <v>14</v>
      </c>
      <c r="L1519" s="10"/>
      <c r="M1519" s="10"/>
      <c r="N1519" s="10"/>
      <c r="O1519" s="10"/>
      <c r="P1519" s="10"/>
      <c r="Q1519" s="10"/>
      <c r="R1519" s="10"/>
      <c r="S1519" s="10"/>
      <c r="T1519" s="10"/>
      <c r="U1519" s="10"/>
      <c r="V1519" s="10"/>
      <c r="W1519" s="10"/>
      <c r="X1519" s="10"/>
      <c r="Y1519" s="10"/>
    </row>
    <row r="1520" spans="1:25" ht="16.5" customHeight="1" x14ac:dyDescent="0.2">
      <c r="A1520" s="403" t="s">
        <v>681</v>
      </c>
      <c r="B1520" s="404"/>
      <c r="C1520" s="405"/>
      <c r="D1520" s="148"/>
      <c r="E1520" s="148"/>
      <c r="F1520" s="148"/>
      <c r="G1520" s="148">
        <v>14</v>
      </c>
      <c r="H1520" s="148"/>
      <c r="I1520" s="148"/>
      <c r="J1520" s="170">
        <f t="shared" si="88"/>
        <v>14</v>
      </c>
      <c r="L1520" s="10"/>
      <c r="M1520" s="10"/>
      <c r="N1520" s="10"/>
      <c r="O1520" s="10"/>
      <c r="P1520" s="10"/>
      <c r="Q1520" s="10"/>
      <c r="R1520" s="10"/>
      <c r="S1520" s="10"/>
      <c r="T1520" s="10"/>
      <c r="U1520" s="10"/>
      <c r="V1520" s="10"/>
      <c r="W1520" s="10"/>
      <c r="X1520" s="10"/>
      <c r="Y1520" s="10"/>
    </row>
    <row r="1521" spans="1:25" ht="16.5" customHeight="1" x14ac:dyDescent="0.2">
      <c r="A1521" s="403" t="s">
        <v>682</v>
      </c>
      <c r="B1521" s="404"/>
      <c r="C1521" s="405"/>
      <c r="D1521" s="148"/>
      <c r="E1521" s="148"/>
      <c r="F1521" s="148"/>
      <c r="G1521" s="148">
        <v>14</v>
      </c>
      <c r="H1521" s="148"/>
      <c r="I1521" s="148"/>
      <c r="J1521" s="170">
        <f>PRODUCT(D1521:H1521)-I1521</f>
        <v>14</v>
      </c>
      <c r="L1521" s="10"/>
      <c r="M1521" s="10"/>
      <c r="N1521" s="10"/>
      <c r="O1521" s="10"/>
      <c r="P1521" s="10"/>
      <c r="Q1521" s="10"/>
      <c r="R1521" s="10"/>
      <c r="S1521" s="10"/>
      <c r="T1521" s="10"/>
      <c r="U1521" s="10"/>
      <c r="V1521" s="10"/>
      <c r="W1521" s="10"/>
      <c r="X1521" s="10"/>
      <c r="Y1521" s="10"/>
    </row>
    <row r="1522" spans="1:25" ht="16.5" customHeight="1" x14ac:dyDescent="0.2">
      <c r="A1522" s="403" t="s">
        <v>683</v>
      </c>
      <c r="B1522" s="404"/>
      <c r="C1522" s="405"/>
      <c r="D1522" s="148"/>
      <c r="E1522" s="148"/>
      <c r="F1522" s="148"/>
      <c r="G1522" s="148">
        <v>14</v>
      </c>
      <c r="H1522" s="148"/>
      <c r="I1522" s="148"/>
      <c r="J1522" s="170">
        <f t="shared" si="88"/>
        <v>14</v>
      </c>
      <c r="L1522" s="10"/>
      <c r="M1522" s="10"/>
      <c r="N1522" s="10"/>
      <c r="O1522" s="10"/>
      <c r="P1522" s="10"/>
      <c r="Q1522" s="10"/>
      <c r="R1522" s="10"/>
      <c r="S1522" s="10"/>
      <c r="T1522" s="10"/>
      <c r="U1522" s="10"/>
      <c r="V1522" s="10"/>
      <c r="W1522" s="10"/>
      <c r="X1522" s="10"/>
      <c r="Y1522" s="10"/>
    </row>
    <row r="1523" spans="1:25" ht="16.5" customHeight="1" x14ac:dyDescent="0.2">
      <c r="A1523" s="403" t="s">
        <v>817</v>
      </c>
      <c r="B1523" s="404"/>
      <c r="C1523" s="405"/>
      <c r="D1523" s="148"/>
      <c r="E1523" s="148"/>
      <c r="F1523" s="148"/>
      <c r="G1523" s="148">
        <v>14</v>
      </c>
      <c r="H1523" s="148"/>
      <c r="I1523" s="148"/>
      <c r="J1523" s="170">
        <f t="shared" si="88"/>
        <v>14</v>
      </c>
      <c r="L1523" s="10"/>
      <c r="M1523" s="10"/>
      <c r="N1523" s="10"/>
      <c r="O1523" s="10"/>
      <c r="P1523" s="10"/>
      <c r="Q1523" s="10"/>
      <c r="R1523" s="10"/>
      <c r="S1523" s="10"/>
      <c r="T1523" s="10"/>
      <c r="U1523" s="10"/>
      <c r="V1523" s="10"/>
      <c r="W1523" s="10"/>
      <c r="X1523" s="10"/>
      <c r="Y1523" s="10"/>
    </row>
    <row r="1524" spans="1:25" ht="16.5" customHeight="1" x14ac:dyDescent="0.2">
      <c r="A1524" s="403" t="s">
        <v>792</v>
      </c>
      <c r="B1524" s="404"/>
      <c r="C1524" s="405"/>
      <c r="D1524" s="148"/>
      <c r="E1524" s="148"/>
      <c r="F1524" s="148"/>
      <c r="G1524" s="148">
        <v>14</v>
      </c>
      <c r="H1524" s="148"/>
      <c r="I1524" s="148"/>
      <c r="J1524" s="170">
        <f t="shared" si="88"/>
        <v>14</v>
      </c>
      <c r="L1524" s="10"/>
      <c r="M1524" s="10"/>
      <c r="N1524" s="10"/>
      <c r="O1524" s="10"/>
      <c r="P1524" s="10"/>
      <c r="Q1524" s="10"/>
      <c r="R1524" s="10"/>
      <c r="S1524" s="10"/>
      <c r="T1524" s="10"/>
      <c r="U1524" s="10"/>
      <c r="V1524" s="10"/>
      <c r="W1524" s="10"/>
      <c r="X1524" s="10"/>
      <c r="Y1524" s="10"/>
    </row>
    <row r="1525" spans="1:25" ht="16.5" customHeight="1" x14ac:dyDescent="0.2">
      <c r="A1525" s="403" t="s">
        <v>687</v>
      </c>
      <c r="B1525" s="404"/>
      <c r="C1525" s="405"/>
      <c r="D1525" s="148"/>
      <c r="E1525" s="148"/>
      <c r="F1525" s="148"/>
      <c r="G1525" s="148">
        <v>14</v>
      </c>
      <c r="H1525" s="148"/>
      <c r="I1525" s="148"/>
      <c r="J1525" s="170">
        <f t="shared" si="88"/>
        <v>14</v>
      </c>
      <c r="L1525" s="10"/>
      <c r="M1525" s="10"/>
      <c r="N1525" s="10"/>
      <c r="O1525" s="10"/>
      <c r="P1525" s="10"/>
      <c r="Q1525" s="10"/>
      <c r="R1525" s="10"/>
      <c r="S1525" s="10"/>
      <c r="T1525" s="10"/>
      <c r="U1525" s="10"/>
      <c r="V1525" s="10"/>
      <c r="W1525" s="10"/>
      <c r="X1525" s="10"/>
      <c r="Y1525" s="10"/>
    </row>
    <row r="1526" spans="1:25" ht="16.5" customHeight="1" x14ac:dyDescent="0.2">
      <c r="A1526" s="342" t="str">
        <f>"TOTAL - "&amp;'Planilha orçamentária'!F102</f>
        <v>TOTAL - UN</v>
      </c>
      <c r="B1526" s="342"/>
      <c r="C1526" s="342"/>
      <c r="D1526" s="342"/>
      <c r="E1526" s="342"/>
      <c r="F1526" s="342"/>
      <c r="G1526" s="342"/>
      <c r="H1526" s="342"/>
      <c r="I1526" s="342"/>
      <c r="J1526" s="149">
        <f>SUM(J1510:J1525)</f>
        <v>224</v>
      </c>
      <c r="K1526" s="10"/>
      <c r="L1526" s="10"/>
      <c r="M1526" s="10"/>
      <c r="N1526" s="10"/>
      <c r="O1526" s="10"/>
      <c r="P1526" s="10"/>
      <c r="Q1526" s="10"/>
      <c r="R1526" s="10"/>
      <c r="S1526" s="10"/>
      <c r="T1526" s="10"/>
      <c r="U1526" s="10"/>
      <c r="V1526" s="10"/>
      <c r="W1526" s="10"/>
      <c r="X1526" s="10"/>
      <c r="Y1526" s="10"/>
    </row>
    <row r="1527" spans="1:25" ht="25.5" customHeight="1" x14ac:dyDescent="0.2">
      <c r="A1527" s="184" t="str">
        <f>'Planilha orçamentária'!A103</f>
        <v>13.5</v>
      </c>
      <c r="B1527" s="343" t="str">
        <f>'Planilha orçamentária'!D103</f>
        <v>Caixa d´água de polietileno, capacidade de 500l, inclusive tampa, torneira de boia, extravasor, tubo de limpeza e acessórios, exclusive tubulação de entrada/ saída de água</v>
      </c>
      <c r="C1527" s="344"/>
      <c r="D1527" s="344"/>
      <c r="E1527" s="344"/>
      <c r="F1527" s="344"/>
      <c r="G1527" s="344"/>
      <c r="H1527" s="344"/>
      <c r="I1527" s="344"/>
      <c r="J1527" s="344"/>
      <c r="K1527" s="10"/>
      <c r="L1527" s="10"/>
      <c r="M1527" s="10"/>
      <c r="N1527" s="10"/>
      <c r="O1527" s="10"/>
      <c r="P1527" s="10"/>
      <c r="Q1527" s="10"/>
      <c r="R1527" s="10"/>
      <c r="S1527" s="10"/>
      <c r="T1527" s="10"/>
      <c r="U1527" s="10"/>
      <c r="V1527" s="10"/>
      <c r="W1527" s="10"/>
      <c r="X1527" s="10"/>
      <c r="Y1527" s="10"/>
    </row>
    <row r="1528" spans="1:25" ht="16.5" customHeight="1" x14ac:dyDescent="0.2">
      <c r="A1528" s="333" t="s">
        <v>120</v>
      </c>
      <c r="B1528" s="334"/>
      <c r="C1528" s="335"/>
      <c r="D1528" s="182" t="s">
        <v>121</v>
      </c>
      <c r="E1528" s="182" t="s">
        <v>122</v>
      </c>
      <c r="F1528" s="181" t="s">
        <v>123</v>
      </c>
      <c r="G1528" s="181" t="s">
        <v>124</v>
      </c>
      <c r="H1528" s="181" t="s">
        <v>125</v>
      </c>
      <c r="I1528" s="182" t="s">
        <v>126</v>
      </c>
      <c r="J1528" s="182" t="s">
        <v>113</v>
      </c>
      <c r="K1528" s="10"/>
      <c r="L1528" s="10"/>
      <c r="M1528" s="10"/>
      <c r="N1528" s="10"/>
      <c r="O1528" s="10"/>
      <c r="P1528" s="10"/>
      <c r="Q1528" s="10"/>
      <c r="R1528" s="10"/>
      <c r="S1528" s="10"/>
      <c r="T1528" s="10"/>
      <c r="U1528" s="10"/>
      <c r="V1528" s="10"/>
      <c r="W1528" s="10"/>
      <c r="X1528" s="10"/>
      <c r="Y1528" s="10"/>
    </row>
    <row r="1529" spans="1:25" ht="16.5" customHeight="1" x14ac:dyDescent="0.2">
      <c r="A1529" s="403" t="s">
        <v>671</v>
      </c>
      <c r="B1529" s="404"/>
      <c r="C1529" s="405"/>
      <c r="D1529" s="148"/>
      <c r="E1529" s="148"/>
      <c r="F1529" s="148"/>
      <c r="G1529" s="148">
        <v>7</v>
      </c>
      <c r="H1529" s="148"/>
      <c r="I1529" s="148"/>
      <c r="J1529" s="170">
        <f t="shared" ref="J1529:J1544" si="89">PRODUCT(D1529:H1529)-I1529</f>
        <v>7</v>
      </c>
      <c r="L1529" s="10"/>
      <c r="M1529" s="10"/>
      <c r="N1529" s="10"/>
      <c r="O1529" s="10"/>
      <c r="P1529" s="10"/>
      <c r="Q1529" s="10"/>
      <c r="R1529" s="10"/>
      <c r="S1529" s="10"/>
      <c r="T1529" s="10"/>
      <c r="U1529" s="10"/>
      <c r="V1529" s="10"/>
      <c r="W1529" s="10"/>
      <c r="X1529" s="10"/>
      <c r="Y1529" s="10"/>
    </row>
    <row r="1530" spans="1:25" ht="16.5" customHeight="1" x14ac:dyDescent="0.2">
      <c r="A1530" s="403" t="s">
        <v>672</v>
      </c>
      <c r="B1530" s="404"/>
      <c r="C1530" s="405"/>
      <c r="D1530" s="148"/>
      <c r="E1530" s="148"/>
      <c r="F1530" s="148"/>
      <c r="G1530" s="148">
        <v>7</v>
      </c>
      <c r="H1530" s="148"/>
      <c r="I1530" s="148"/>
      <c r="J1530" s="170">
        <f t="shared" si="89"/>
        <v>7</v>
      </c>
      <c r="L1530" s="10"/>
      <c r="M1530" s="10"/>
      <c r="N1530" s="10"/>
      <c r="O1530" s="10"/>
      <c r="P1530" s="10"/>
      <c r="Q1530" s="10"/>
      <c r="R1530" s="10"/>
      <c r="S1530" s="10"/>
      <c r="T1530" s="10"/>
      <c r="U1530" s="10"/>
      <c r="V1530" s="10"/>
      <c r="W1530" s="10"/>
      <c r="X1530" s="10"/>
      <c r="Y1530" s="10"/>
    </row>
    <row r="1531" spans="1:25" ht="16.5" customHeight="1" x14ac:dyDescent="0.2">
      <c r="A1531" s="403" t="s">
        <v>673</v>
      </c>
      <c r="B1531" s="404"/>
      <c r="C1531" s="405"/>
      <c r="D1531" s="148"/>
      <c r="E1531" s="148"/>
      <c r="F1531" s="148"/>
      <c r="G1531" s="148">
        <v>7</v>
      </c>
      <c r="H1531" s="148"/>
      <c r="I1531" s="148"/>
      <c r="J1531" s="170">
        <f t="shared" si="89"/>
        <v>7</v>
      </c>
      <c r="L1531" s="10"/>
      <c r="M1531" s="10"/>
      <c r="N1531" s="10"/>
      <c r="O1531" s="10"/>
      <c r="P1531" s="10"/>
      <c r="Q1531" s="10"/>
      <c r="R1531" s="10"/>
      <c r="S1531" s="10"/>
      <c r="T1531" s="10"/>
      <c r="U1531" s="10"/>
      <c r="V1531" s="10"/>
      <c r="W1531" s="10"/>
      <c r="X1531" s="10"/>
      <c r="Y1531" s="10"/>
    </row>
    <row r="1532" spans="1:25" ht="16.5" customHeight="1" x14ac:dyDescent="0.2">
      <c r="A1532" s="403" t="s">
        <v>674</v>
      </c>
      <c r="B1532" s="404"/>
      <c r="C1532" s="405"/>
      <c r="D1532" s="148"/>
      <c r="E1532" s="148"/>
      <c r="F1532" s="148"/>
      <c r="G1532" s="148">
        <v>7</v>
      </c>
      <c r="H1532" s="148"/>
      <c r="I1532" s="148"/>
      <c r="J1532" s="170">
        <f t="shared" si="89"/>
        <v>7</v>
      </c>
      <c r="L1532" s="10"/>
      <c r="M1532" s="10"/>
      <c r="N1532" s="10"/>
      <c r="O1532" s="10"/>
      <c r="P1532" s="10"/>
      <c r="Q1532" s="10"/>
      <c r="R1532" s="10"/>
      <c r="S1532" s="10"/>
      <c r="T1532" s="10"/>
      <c r="U1532" s="10"/>
      <c r="V1532" s="10"/>
      <c r="W1532" s="10"/>
      <c r="X1532" s="10"/>
      <c r="Y1532" s="10"/>
    </row>
    <row r="1533" spans="1:25" ht="16.5" customHeight="1" x14ac:dyDescent="0.2">
      <c r="A1533" s="403" t="s">
        <v>816</v>
      </c>
      <c r="B1533" s="404"/>
      <c r="C1533" s="405"/>
      <c r="D1533" s="148"/>
      <c r="E1533" s="148"/>
      <c r="F1533" s="148"/>
      <c r="G1533" s="148">
        <v>7</v>
      </c>
      <c r="H1533" s="148"/>
      <c r="I1533" s="148"/>
      <c r="J1533" s="170">
        <f t="shared" si="89"/>
        <v>7</v>
      </c>
      <c r="L1533" s="10"/>
      <c r="M1533" s="10"/>
      <c r="N1533" s="10"/>
      <c r="O1533" s="10"/>
      <c r="P1533" s="10"/>
      <c r="Q1533" s="10"/>
      <c r="R1533" s="10"/>
      <c r="S1533" s="10"/>
      <c r="T1533" s="10"/>
      <c r="U1533" s="10"/>
      <c r="V1533" s="10"/>
      <c r="W1533" s="10"/>
      <c r="X1533" s="10"/>
      <c r="Y1533" s="10"/>
    </row>
    <row r="1534" spans="1:25" ht="16.5" customHeight="1" x14ac:dyDescent="0.2">
      <c r="A1534" s="403" t="s">
        <v>676</v>
      </c>
      <c r="B1534" s="404"/>
      <c r="C1534" s="405"/>
      <c r="D1534" s="148"/>
      <c r="E1534" s="148"/>
      <c r="F1534" s="148"/>
      <c r="G1534" s="148">
        <v>7</v>
      </c>
      <c r="H1534" s="148"/>
      <c r="I1534" s="148"/>
      <c r="J1534" s="170">
        <f t="shared" si="89"/>
        <v>7</v>
      </c>
      <c r="L1534" s="10"/>
      <c r="M1534" s="10"/>
      <c r="N1534" s="10"/>
      <c r="O1534" s="10"/>
      <c r="P1534" s="10"/>
      <c r="Q1534" s="10"/>
      <c r="R1534" s="10"/>
      <c r="S1534" s="10"/>
      <c r="T1534" s="10"/>
      <c r="U1534" s="10"/>
      <c r="V1534" s="10"/>
      <c r="W1534" s="10"/>
      <c r="X1534" s="10"/>
      <c r="Y1534" s="10"/>
    </row>
    <row r="1535" spans="1:25" ht="16.5" customHeight="1" x14ac:dyDescent="0.2">
      <c r="A1535" s="403" t="s">
        <v>677</v>
      </c>
      <c r="B1535" s="404"/>
      <c r="C1535" s="405"/>
      <c r="D1535" s="148"/>
      <c r="E1535" s="148"/>
      <c r="F1535" s="148"/>
      <c r="G1535" s="148">
        <v>7</v>
      </c>
      <c r="H1535" s="148"/>
      <c r="I1535" s="148"/>
      <c r="J1535" s="170">
        <f t="shared" si="89"/>
        <v>7</v>
      </c>
      <c r="L1535" s="10"/>
      <c r="M1535" s="10"/>
      <c r="N1535" s="10"/>
      <c r="O1535" s="10"/>
      <c r="P1535" s="10"/>
      <c r="Q1535" s="10"/>
      <c r="R1535" s="10"/>
      <c r="S1535" s="10"/>
      <c r="T1535" s="10"/>
      <c r="U1535" s="10"/>
      <c r="V1535" s="10"/>
      <c r="W1535" s="10"/>
      <c r="X1535" s="10"/>
      <c r="Y1535" s="10"/>
    </row>
    <row r="1536" spans="1:25" ht="16.5" customHeight="1" x14ac:dyDescent="0.2">
      <c r="A1536" s="403" t="s">
        <v>678</v>
      </c>
      <c r="B1536" s="404"/>
      <c r="C1536" s="405"/>
      <c r="D1536" s="148"/>
      <c r="E1536" s="148"/>
      <c r="F1536" s="148"/>
      <c r="G1536" s="148">
        <v>7</v>
      </c>
      <c r="H1536" s="148"/>
      <c r="I1536" s="148"/>
      <c r="J1536" s="170">
        <f t="shared" si="89"/>
        <v>7</v>
      </c>
      <c r="L1536" s="10"/>
      <c r="M1536" s="10"/>
      <c r="N1536" s="10"/>
      <c r="O1536" s="10"/>
      <c r="P1536" s="10"/>
      <c r="Q1536" s="10"/>
      <c r="R1536" s="10"/>
      <c r="S1536" s="10"/>
      <c r="T1536" s="10"/>
      <c r="U1536" s="10"/>
      <c r="V1536" s="10"/>
      <c r="W1536" s="10"/>
      <c r="X1536" s="10"/>
      <c r="Y1536" s="10"/>
    </row>
    <row r="1537" spans="1:25" ht="16.5" customHeight="1" x14ac:dyDescent="0.2">
      <c r="A1537" s="403" t="s">
        <v>679</v>
      </c>
      <c r="B1537" s="404"/>
      <c r="C1537" s="405"/>
      <c r="D1537" s="148"/>
      <c r="E1537" s="148"/>
      <c r="F1537" s="148"/>
      <c r="G1537" s="148">
        <v>7</v>
      </c>
      <c r="H1537" s="148"/>
      <c r="I1537" s="148"/>
      <c r="J1537" s="170">
        <f t="shared" si="89"/>
        <v>7</v>
      </c>
      <c r="L1537" s="10"/>
      <c r="M1537" s="10"/>
      <c r="N1537" s="10"/>
      <c r="O1537" s="10"/>
      <c r="P1537" s="10"/>
      <c r="Q1537" s="10"/>
      <c r="R1537" s="10"/>
      <c r="S1537" s="10"/>
      <c r="T1537" s="10"/>
      <c r="U1537" s="10"/>
      <c r="V1537" s="10"/>
      <c r="W1537" s="10"/>
      <c r="X1537" s="10"/>
      <c r="Y1537" s="10"/>
    </row>
    <row r="1538" spans="1:25" ht="16.5" customHeight="1" x14ac:dyDescent="0.2">
      <c r="A1538" s="403" t="s">
        <v>769</v>
      </c>
      <c r="B1538" s="404"/>
      <c r="C1538" s="405"/>
      <c r="D1538" s="148"/>
      <c r="E1538" s="148"/>
      <c r="F1538" s="148"/>
      <c r="G1538" s="148">
        <v>7</v>
      </c>
      <c r="H1538" s="148"/>
      <c r="I1538" s="148"/>
      <c r="J1538" s="170">
        <f t="shared" si="89"/>
        <v>7</v>
      </c>
      <c r="L1538" s="10"/>
      <c r="M1538" s="10"/>
      <c r="N1538" s="10"/>
      <c r="O1538" s="10"/>
      <c r="P1538" s="10"/>
      <c r="Q1538" s="10"/>
      <c r="R1538" s="10"/>
      <c r="S1538" s="10"/>
      <c r="T1538" s="10"/>
      <c r="U1538" s="10"/>
      <c r="V1538" s="10"/>
      <c r="W1538" s="10"/>
      <c r="X1538" s="10"/>
      <c r="Y1538" s="10"/>
    </row>
    <row r="1539" spans="1:25" ht="16.5" customHeight="1" x14ac:dyDescent="0.2">
      <c r="A1539" s="403" t="s">
        <v>681</v>
      </c>
      <c r="B1539" s="404"/>
      <c r="C1539" s="405"/>
      <c r="D1539" s="148"/>
      <c r="E1539" s="148"/>
      <c r="F1539" s="148"/>
      <c r="G1539" s="148">
        <v>7</v>
      </c>
      <c r="H1539" s="148"/>
      <c r="I1539" s="148"/>
      <c r="J1539" s="170">
        <f t="shared" si="89"/>
        <v>7</v>
      </c>
      <c r="L1539" s="10"/>
      <c r="M1539" s="10"/>
      <c r="N1539" s="10"/>
      <c r="O1539" s="10"/>
      <c r="P1539" s="10"/>
      <c r="Q1539" s="10"/>
      <c r="R1539" s="10"/>
      <c r="S1539" s="10"/>
      <c r="T1539" s="10"/>
      <c r="U1539" s="10"/>
      <c r="V1539" s="10"/>
      <c r="W1539" s="10"/>
      <c r="X1539" s="10"/>
      <c r="Y1539" s="10"/>
    </row>
    <row r="1540" spans="1:25" ht="16.5" customHeight="1" x14ac:dyDescent="0.2">
      <c r="A1540" s="403" t="s">
        <v>682</v>
      </c>
      <c r="B1540" s="404"/>
      <c r="C1540" s="405"/>
      <c r="D1540" s="148"/>
      <c r="E1540" s="148"/>
      <c r="F1540" s="148"/>
      <c r="G1540" s="148">
        <v>7</v>
      </c>
      <c r="H1540" s="148"/>
      <c r="I1540" s="148"/>
      <c r="J1540" s="170">
        <f t="shared" si="89"/>
        <v>7</v>
      </c>
      <c r="L1540" s="10"/>
      <c r="M1540" s="10"/>
      <c r="N1540" s="10"/>
      <c r="O1540" s="10"/>
      <c r="P1540" s="10"/>
      <c r="Q1540" s="10"/>
      <c r="R1540" s="10"/>
      <c r="S1540" s="10"/>
      <c r="T1540" s="10"/>
      <c r="U1540" s="10"/>
      <c r="V1540" s="10"/>
      <c r="W1540" s="10"/>
      <c r="X1540" s="10"/>
      <c r="Y1540" s="10"/>
    </row>
    <row r="1541" spans="1:25" ht="16.5" customHeight="1" x14ac:dyDescent="0.2">
      <c r="A1541" s="403" t="s">
        <v>683</v>
      </c>
      <c r="B1541" s="404"/>
      <c r="C1541" s="405"/>
      <c r="D1541" s="148"/>
      <c r="E1541" s="148"/>
      <c r="F1541" s="148"/>
      <c r="G1541" s="148">
        <v>7</v>
      </c>
      <c r="H1541" s="148"/>
      <c r="I1541" s="148"/>
      <c r="J1541" s="170">
        <f t="shared" si="89"/>
        <v>7</v>
      </c>
      <c r="L1541" s="10"/>
      <c r="M1541" s="10"/>
      <c r="N1541" s="10"/>
      <c r="O1541" s="10"/>
      <c r="P1541" s="10"/>
      <c r="Q1541" s="10"/>
      <c r="R1541" s="10"/>
      <c r="S1541" s="10"/>
      <c r="T1541" s="10"/>
      <c r="U1541" s="10"/>
      <c r="V1541" s="10"/>
      <c r="W1541" s="10"/>
      <c r="X1541" s="10"/>
      <c r="Y1541" s="10"/>
    </row>
    <row r="1542" spans="1:25" ht="16.5" customHeight="1" x14ac:dyDescent="0.2">
      <c r="A1542" s="403" t="s">
        <v>817</v>
      </c>
      <c r="B1542" s="404"/>
      <c r="C1542" s="405"/>
      <c r="D1542" s="148"/>
      <c r="E1542" s="148"/>
      <c r="F1542" s="148"/>
      <c r="G1542" s="148">
        <v>7</v>
      </c>
      <c r="H1542" s="148"/>
      <c r="I1542" s="148"/>
      <c r="J1542" s="170">
        <f t="shared" si="89"/>
        <v>7</v>
      </c>
      <c r="L1542" s="10"/>
      <c r="M1542" s="10"/>
      <c r="N1542" s="10"/>
      <c r="O1542" s="10"/>
      <c r="P1542" s="10"/>
      <c r="Q1542" s="10"/>
      <c r="R1542" s="10"/>
      <c r="S1542" s="10"/>
      <c r="T1542" s="10"/>
      <c r="U1542" s="10"/>
      <c r="V1542" s="10"/>
      <c r="W1542" s="10"/>
      <c r="X1542" s="10"/>
      <c r="Y1542" s="10"/>
    </row>
    <row r="1543" spans="1:25" ht="16.5" customHeight="1" x14ac:dyDescent="0.2">
      <c r="A1543" s="403" t="s">
        <v>792</v>
      </c>
      <c r="B1543" s="404"/>
      <c r="C1543" s="405"/>
      <c r="D1543" s="148"/>
      <c r="E1543" s="148"/>
      <c r="F1543" s="148"/>
      <c r="G1543" s="148">
        <v>7</v>
      </c>
      <c r="H1543" s="148"/>
      <c r="I1543" s="148"/>
      <c r="J1543" s="170">
        <f t="shared" si="89"/>
        <v>7</v>
      </c>
      <c r="L1543" s="10"/>
      <c r="M1543" s="10"/>
      <c r="N1543" s="10"/>
      <c r="O1543" s="10"/>
      <c r="P1543" s="10"/>
      <c r="Q1543" s="10"/>
      <c r="R1543" s="10"/>
      <c r="S1543" s="10"/>
      <c r="T1543" s="10"/>
      <c r="U1543" s="10"/>
      <c r="V1543" s="10"/>
      <c r="W1543" s="10"/>
      <c r="X1543" s="10"/>
      <c r="Y1543" s="10"/>
    </row>
    <row r="1544" spans="1:25" ht="16.5" customHeight="1" x14ac:dyDescent="0.2">
      <c r="A1544" s="403" t="s">
        <v>687</v>
      </c>
      <c r="B1544" s="404"/>
      <c r="C1544" s="405"/>
      <c r="D1544" s="148"/>
      <c r="E1544" s="148"/>
      <c r="F1544" s="148"/>
      <c r="G1544" s="148">
        <v>7</v>
      </c>
      <c r="H1544" s="148"/>
      <c r="I1544" s="148"/>
      <c r="J1544" s="170">
        <f t="shared" si="89"/>
        <v>7</v>
      </c>
      <c r="L1544" s="10"/>
      <c r="M1544" s="10"/>
      <c r="N1544" s="10"/>
      <c r="O1544" s="10"/>
      <c r="P1544" s="10"/>
      <c r="Q1544" s="10"/>
      <c r="R1544" s="10"/>
      <c r="S1544" s="10"/>
      <c r="T1544" s="10"/>
      <c r="U1544" s="10"/>
      <c r="V1544" s="10"/>
      <c r="W1544" s="10"/>
      <c r="X1544" s="10"/>
      <c r="Y1544" s="10"/>
    </row>
    <row r="1545" spans="1:25" ht="16.5" customHeight="1" x14ac:dyDescent="0.2">
      <c r="A1545" s="342" t="str">
        <f>"TOTAL - "&amp;'Planilha orçamentária'!F103</f>
        <v>TOTAL - UN</v>
      </c>
      <c r="B1545" s="342"/>
      <c r="C1545" s="342"/>
      <c r="D1545" s="342"/>
      <c r="E1545" s="342"/>
      <c r="F1545" s="342"/>
      <c r="G1545" s="342"/>
      <c r="H1545" s="342"/>
      <c r="I1545" s="342"/>
      <c r="J1545" s="149">
        <f>SUM(J1529:J1544)</f>
        <v>112</v>
      </c>
      <c r="K1545" s="10"/>
      <c r="L1545" s="10"/>
      <c r="M1545" s="10"/>
      <c r="N1545" s="10"/>
      <c r="O1545" s="10"/>
      <c r="P1545" s="10"/>
      <c r="Q1545" s="10"/>
      <c r="R1545" s="10"/>
      <c r="S1545" s="10"/>
      <c r="T1545" s="10"/>
      <c r="U1545" s="10"/>
      <c r="V1545" s="10"/>
      <c r="W1545" s="10"/>
      <c r="X1545" s="10"/>
      <c r="Y1545" s="10"/>
    </row>
    <row r="1546" spans="1:25" ht="16.5" customHeight="1" x14ac:dyDescent="0.2">
      <c r="A1546" s="184" t="str">
        <f>'Planilha orçamentária'!A104</f>
        <v>13.6</v>
      </c>
      <c r="B1546" s="343" t="str">
        <f>'Planilha orçamentária'!D104</f>
        <v>Kit cavalete para medição de água, embutido em alvenaria, em aço galvanizado DN 25mm (3/4") - padrão concessionária local, exclusive hidrômetro</v>
      </c>
      <c r="C1546" s="344"/>
      <c r="D1546" s="344"/>
      <c r="E1546" s="344"/>
      <c r="F1546" s="344"/>
      <c r="G1546" s="344"/>
      <c r="H1546" s="344"/>
      <c r="I1546" s="344"/>
      <c r="J1546" s="344"/>
      <c r="K1546" s="10"/>
      <c r="L1546" s="10"/>
      <c r="M1546" s="10"/>
      <c r="N1546" s="10"/>
      <c r="O1546" s="10"/>
      <c r="P1546" s="10"/>
      <c r="Q1546" s="10"/>
      <c r="R1546" s="10"/>
      <c r="S1546" s="10"/>
      <c r="T1546" s="10"/>
      <c r="U1546" s="10"/>
      <c r="V1546" s="10"/>
      <c r="W1546" s="10"/>
      <c r="X1546" s="10"/>
      <c r="Y1546" s="10"/>
    </row>
    <row r="1547" spans="1:25" ht="16.5" customHeight="1" x14ac:dyDescent="0.2">
      <c r="A1547" s="327" t="s">
        <v>120</v>
      </c>
      <c r="B1547" s="328"/>
      <c r="C1547" s="328"/>
      <c r="D1547" s="182" t="s">
        <v>121</v>
      </c>
      <c r="E1547" s="182" t="s">
        <v>122</v>
      </c>
      <c r="F1547" s="181" t="s">
        <v>123</v>
      </c>
      <c r="G1547" s="181" t="s">
        <v>124</v>
      </c>
      <c r="H1547" s="181" t="s">
        <v>125</v>
      </c>
      <c r="I1547" s="182" t="s">
        <v>126</v>
      </c>
      <c r="J1547" s="182" t="s">
        <v>113</v>
      </c>
      <c r="K1547" s="10"/>
      <c r="L1547" s="10"/>
      <c r="M1547" s="10"/>
      <c r="N1547" s="10"/>
      <c r="O1547" s="10"/>
      <c r="P1547" s="10"/>
      <c r="Q1547" s="10"/>
      <c r="R1547" s="10"/>
      <c r="S1547" s="10"/>
      <c r="T1547" s="10"/>
      <c r="U1547" s="10"/>
      <c r="V1547" s="10"/>
      <c r="W1547" s="10"/>
      <c r="X1547" s="10"/>
      <c r="Y1547" s="10"/>
    </row>
    <row r="1548" spans="1:25" ht="16.5" customHeight="1" x14ac:dyDescent="0.2">
      <c r="A1548" s="403" t="s">
        <v>671</v>
      </c>
      <c r="B1548" s="404"/>
      <c r="C1548" s="405"/>
      <c r="D1548" s="148"/>
      <c r="E1548" s="148"/>
      <c r="F1548" s="148"/>
      <c r="G1548" s="148">
        <v>7</v>
      </c>
      <c r="H1548" s="148"/>
      <c r="I1548" s="148"/>
      <c r="J1548" s="170">
        <f t="shared" ref="J1548:J1563" si="90">PRODUCT(D1548:H1548)-I1548</f>
        <v>7</v>
      </c>
      <c r="L1548" s="10"/>
      <c r="M1548" s="10"/>
      <c r="N1548" s="10"/>
      <c r="O1548" s="10"/>
      <c r="P1548" s="10"/>
      <c r="Q1548" s="10"/>
      <c r="R1548" s="10"/>
      <c r="S1548" s="10"/>
      <c r="T1548" s="10"/>
      <c r="U1548" s="10"/>
      <c r="V1548" s="10"/>
      <c r="W1548" s="10"/>
      <c r="X1548" s="10"/>
      <c r="Y1548" s="10"/>
    </row>
    <row r="1549" spans="1:25" ht="16.5" customHeight="1" x14ac:dyDescent="0.2">
      <c r="A1549" s="403" t="s">
        <v>672</v>
      </c>
      <c r="B1549" s="404"/>
      <c r="C1549" s="405"/>
      <c r="D1549" s="148"/>
      <c r="E1549" s="148"/>
      <c r="F1549" s="148"/>
      <c r="G1549" s="148">
        <v>7</v>
      </c>
      <c r="H1549" s="148"/>
      <c r="I1549" s="148"/>
      <c r="J1549" s="170">
        <f t="shared" si="90"/>
        <v>7</v>
      </c>
      <c r="L1549" s="10"/>
      <c r="M1549" s="10"/>
      <c r="N1549" s="10"/>
      <c r="O1549" s="10"/>
      <c r="P1549" s="10"/>
      <c r="Q1549" s="10"/>
      <c r="R1549" s="10"/>
      <c r="S1549" s="10"/>
      <c r="T1549" s="10"/>
      <c r="U1549" s="10"/>
      <c r="V1549" s="10"/>
      <c r="W1549" s="10"/>
      <c r="X1549" s="10"/>
      <c r="Y1549" s="10"/>
    </row>
    <row r="1550" spans="1:25" ht="16.5" customHeight="1" x14ac:dyDescent="0.2">
      <c r="A1550" s="403" t="s">
        <v>673</v>
      </c>
      <c r="B1550" s="404"/>
      <c r="C1550" s="405"/>
      <c r="D1550" s="148"/>
      <c r="E1550" s="148"/>
      <c r="F1550" s="148"/>
      <c r="G1550" s="148">
        <v>7</v>
      </c>
      <c r="H1550" s="148"/>
      <c r="I1550" s="148"/>
      <c r="J1550" s="170">
        <f t="shared" si="90"/>
        <v>7</v>
      </c>
      <c r="L1550" s="10"/>
      <c r="M1550" s="10"/>
      <c r="N1550" s="10"/>
      <c r="O1550" s="10"/>
      <c r="P1550" s="10"/>
      <c r="Q1550" s="10"/>
      <c r="R1550" s="10"/>
      <c r="S1550" s="10"/>
      <c r="T1550" s="10"/>
      <c r="U1550" s="10"/>
      <c r="V1550" s="10"/>
      <c r="W1550" s="10"/>
      <c r="X1550" s="10"/>
      <c r="Y1550" s="10"/>
    </row>
    <row r="1551" spans="1:25" ht="16.5" customHeight="1" x14ac:dyDescent="0.2">
      <c r="A1551" s="403" t="s">
        <v>674</v>
      </c>
      <c r="B1551" s="404"/>
      <c r="C1551" s="405"/>
      <c r="D1551" s="148"/>
      <c r="E1551" s="148"/>
      <c r="F1551" s="148"/>
      <c r="G1551" s="148">
        <v>7</v>
      </c>
      <c r="H1551" s="148"/>
      <c r="I1551" s="148"/>
      <c r="J1551" s="170">
        <f t="shared" si="90"/>
        <v>7</v>
      </c>
      <c r="L1551" s="10"/>
      <c r="M1551" s="10"/>
      <c r="N1551" s="10"/>
      <c r="O1551" s="10"/>
      <c r="P1551" s="10"/>
      <c r="Q1551" s="10"/>
      <c r="R1551" s="10"/>
      <c r="S1551" s="10"/>
      <c r="T1551" s="10"/>
      <c r="U1551" s="10"/>
      <c r="V1551" s="10"/>
      <c r="W1551" s="10"/>
      <c r="X1551" s="10"/>
      <c r="Y1551" s="10"/>
    </row>
    <row r="1552" spans="1:25" ht="16.5" customHeight="1" x14ac:dyDescent="0.2">
      <c r="A1552" s="403" t="s">
        <v>816</v>
      </c>
      <c r="B1552" s="404"/>
      <c r="C1552" s="405"/>
      <c r="D1552" s="148"/>
      <c r="E1552" s="148"/>
      <c r="F1552" s="148"/>
      <c r="G1552" s="148">
        <v>7</v>
      </c>
      <c r="H1552" s="148"/>
      <c r="I1552" s="148"/>
      <c r="J1552" s="170">
        <f t="shared" si="90"/>
        <v>7</v>
      </c>
      <c r="L1552" s="10"/>
      <c r="M1552" s="10"/>
      <c r="N1552" s="10"/>
      <c r="O1552" s="10"/>
      <c r="P1552" s="10"/>
      <c r="Q1552" s="10"/>
      <c r="R1552" s="10"/>
      <c r="S1552" s="10"/>
      <c r="T1552" s="10"/>
      <c r="U1552" s="10"/>
      <c r="V1552" s="10"/>
      <c r="W1552" s="10"/>
      <c r="X1552" s="10"/>
      <c r="Y1552" s="10"/>
    </row>
    <row r="1553" spans="1:25" ht="16.5" customHeight="1" x14ac:dyDescent="0.2">
      <c r="A1553" s="403" t="s">
        <v>676</v>
      </c>
      <c r="B1553" s="404"/>
      <c r="C1553" s="405"/>
      <c r="D1553" s="148"/>
      <c r="E1553" s="148"/>
      <c r="F1553" s="148"/>
      <c r="G1553" s="148">
        <v>7</v>
      </c>
      <c r="H1553" s="148"/>
      <c r="I1553" s="148"/>
      <c r="J1553" s="170">
        <f t="shared" si="90"/>
        <v>7</v>
      </c>
      <c r="L1553" s="10"/>
      <c r="M1553" s="10"/>
      <c r="N1553" s="10"/>
      <c r="O1553" s="10"/>
      <c r="P1553" s="10"/>
      <c r="Q1553" s="10"/>
      <c r="R1553" s="10"/>
      <c r="S1553" s="10"/>
      <c r="T1553" s="10"/>
      <c r="U1553" s="10"/>
      <c r="V1553" s="10"/>
      <c r="W1553" s="10"/>
      <c r="X1553" s="10"/>
      <c r="Y1553" s="10"/>
    </row>
    <row r="1554" spans="1:25" ht="16.5" customHeight="1" x14ac:dyDescent="0.2">
      <c r="A1554" s="403" t="s">
        <v>677</v>
      </c>
      <c r="B1554" s="404"/>
      <c r="C1554" s="405"/>
      <c r="D1554" s="148"/>
      <c r="E1554" s="148"/>
      <c r="F1554" s="148"/>
      <c r="G1554" s="148">
        <v>7</v>
      </c>
      <c r="H1554" s="148"/>
      <c r="I1554" s="148"/>
      <c r="J1554" s="170">
        <f t="shared" si="90"/>
        <v>7</v>
      </c>
      <c r="L1554" s="10"/>
      <c r="M1554" s="10"/>
      <c r="N1554" s="10"/>
      <c r="O1554" s="10"/>
      <c r="P1554" s="10"/>
      <c r="Q1554" s="10"/>
      <c r="R1554" s="10"/>
      <c r="S1554" s="10"/>
      <c r="T1554" s="10"/>
      <c r="U1554" s="10"/>
      <c r="V1554" s="10"/>
      <c r="W1554" s="10"/>
      <c r="X1554" s="10"/>
      <c r="Y1554" s="10"/>
    </row>
    <row r="1555" spans="1:25" ht="16.5" customHeight="1" x14ac:dyDescent="0.2">
      <c r="A1555" s="403" t="s">
        <v>678</v>
      </c>
      <c r="B1555" s="404"/>
      <c r="C1555" s="405"/>
      <c r="D1555" s="148"/>
      <c r="E1555" s="148"/>
      <c r="F1555" s="148"/>
      <c r="G1555" s="148">
        <v>7</v>
      </c>
      <c r="H1555" s="148"/>
      <c r="I1555" s="148"/>
      <c r="J1555" s="170">
        <f t="shared" si="90"/>
        <v>7</v>
      </c>
      <c r="L1555" s="10"/>
      <c r="M1555" s="10"/>
      <c r="N1555" s="10"/>
      <c r="O1555" s="10"/>
      <c r="P1555" s="10"/>
      <c r="Q1555" s="10"/>
      <c r="R1555" s="10"/>
      <c r="S1555" s="10"/>
      <c r="T1555" s="10"/>
      <c r="U1555" s="10"/>
      <c r="V1555" s="10"/>
      <c r="W1555" s="10"/>
      <c r="X1555" s="10"/>
      <c r="Y1555" s="10"/>
    </row>
    <row r="1556" spans="1:25" ht="16.5" customHeight="1" x14ac:dyDescent="0.2">
      <c r="A1556" s="403" t="s">
        <v>679</v>
      </c>
      <c r="B1556" s="404"/>
      <c r="C1556" s="405"/>
      <c r="D1556" s="148"/>
      <c r="E1556" s="148"/>
      <c r="F1556" s="148"/>
      <c r="G1556" s="148">
        <v>7</v>
      </c>
      <c r="H1556" s="148"/>
      <c r="I1556" s="148"/>
      <c r="J1556" s="170">
        <f t="shared" si="90"/>
        <v>7</v>
      </c>
      <c r="L1556" s="10"/>
      <c r="M1556" s="10"/>
      <c r="N1556" s="10"/>
      <c r="O1556" s="10"/>
      <c r="P1556" s="10"/>
      <c r="Q1556" s="10"/>
      <c r="R1556" s="10"/>
      <c r="S1556" s="10"/>
      <c r="T1556" s="10"/>
      <c r="U1556" s="10"/>
      <c r="V1556" s="10"/>
      <c r="W1556" s="10"/>
      <c r="X1556" s="10"/>
      <c r="Y1556" s="10"/>
    </row>
    <row r="1557" spans="1:25" ht="16.5" customHeight="1" x14ac:dyDescent="0.2">
      <c r="A1557" s="403" t="s">
        <v>769</v>
      </c>
      <c r="B1557" s="404"/>
      <c r="C1557" s="405"/>
      <c r="D1557" s="148"/>
      <c r="E1557" s="148"/>
      <c r="F1557" s="148"/>
      <c r="G1557" s="148">
        <v>7</v>
      </c>
      <c r="H1557" s="148"/>
      <c r="I1557" s="148"/>
      <c r="J1557" s="170">
        <f t="shared" si="90"/>
        <v>7</v>
      </c>
      <c r="L1557" s="10"/>
      <c r="M1557" s="10"/>
      <c r="N1557" s="10"/>
      <c r="O1557" s="10"/>
      <c r="P1557" s="10"/>
      <c r="Q1557" s="10"/>
      <c r="R1557" s="10"/>
      <c r="S1557" s="10"/>
      <c r="T1557" s="10"/>
      <c r="U1557" s="10"/>
      <c r="V1557" s="10"/>
      <c r="W1557" s="10"/>
      <c r="X1557" s="10"/>
      <c r="Y1557" s="10"/>
    </row>
    <row r="1558" spans="1:25" ht="16.5" customHeight="1" x14ac:dyDescent="0.2">
      <c r="A1558" s="403" t="s">
        <v>681</v>
      </c>
      <c r="B1558" s="404"/>
      <c r="C1558" s="405"/>
      <c r="D1558" s="148"/>
      <c r="E1558" s="148"/>
      <c r="F1558" s="148"/>
      <c r="G1558" s="148">
        <v>7</v>
      </c>
      <c r="H1558" s="148"/>
      <c r="I1558" s="148"/>
      <c r="J1558" s="170">
        <f t="shared" si="90"/>
        <v>7</v>
      </c>
      <c r="L1558" s="10"/>
      <c r="M1558" s="10"/>
      <c r="N1558" s="10"/>
      <c r="O1558" s="10"/>
      <c r="P1558" s="10"/>
      <c r="Q1558" s="10"/>
      <c r="R1558" s="10"/>
      <c r="S1558" s="10"/>
      <c r="T1558" s="10"/>
      <c r="U1558" s="10"/>
      <c r="V1558" s="10"/>
      <c r="W1558" s="10"/>
      <c r="X1558" s="10"/>
      <c r="Y1558" s="10"/>
    </row>
    <row r="1559" spans="1:25" ht="16.5" customHeight="1" x14ac:dyDescent="0.2">
      <c r="A1559" s="403" t="s">
        <v>682</v>
      </c>
      <c r="B1559" s="404"/>
      <c r="C1559" s="405"/>
      <c r="D1559" s="148"/>
      <c r="E1559" s="148"/>
      <c r="F1559" s="148"/>
      <c r="G1559" s="148">
        <v>7</v>
      </c>
      <c r="H1559" s="148"/>
      <c r="I1559" s="148"/>
      <c r="J1559" s="170">
        <f t="shared" si="90"/>
        <v>7</v>
      </c>
      <c r="L1559" s="10"/>
      <c r="M1559" s="10"/>
      <c r="N1559" s="10"/>
      <c r="O1559" s="10"/>
      <c r="P1559" s="10"/>
      <c r="Q1559" s="10"/>
      <c r="R1559" s="10"/>
      <c r="S1559" s="10"/>
      <c r="T1559" s="10"/>
      <c r="U1559" s="10"/>
      <c r="V1559" s="10"/>
      <c r="W1559" s="10"/>
      <c r="X1559" s="10"/>
      <c r="Y1559" s="10"/>
    </row>
    <row r="1560" spans="1:25" ht="16.5" customHeight="1" x14ac:dyDescent="0.2">
      <c r="A1560" s="403" t="s">
        <v>683</v>
      </c>
      <c r="B1560" s="404"/>
      <c r="C1560" s="405"/>
      <c r="D1560" s="148"/>
      <c r="E1560" s="148"/>
      <c r="F1560" s="148"/>
      <c r="G1560" s="148">
        <v>7</v>
      </c>
      <c r="H1560" s="148"/>
      <c r="I1560" s="148"/>
      <c r="J1560" s="170">
        <f t="shared" si="90"/>
        <v>7</v>
      </c>
      <c r="L1560" s="10"/>
      <c r="M1560" s="10"/>
      <c r="N1560" s="10"/>
      <c r="O1560" s="10"/>
      <c r="P1560" s="10"/>
      <c r="Q1560" s="10"/>
      <c r="R1560" s="10"/>
      <c r="S1560" s="10"/>
      <c r="T1560" s="10"/>
      <c r="U1560" s="10"/>
      <c r="V1560" s="10"/>
      <c r="W1560" s="10"/>
      <c r="X1560" s="10"/>
      <c r="Y1560" s="10"/>
    </row>
    <row r="1561" spans="1:25" ht="16.5" customHeight="1" x14ac:dyDescent="0.2">
      <c r="A1561" s="403" t="s">
        <v>817</v>
      </c>
      <c r="B1561" s="404"/>
      <c r="C1561" s="405"/>
      <c r="D1561" s="148"/>
      <c r="E1561" s="148"/>
      <c r="F1561" s="148"/>
      <c r="G1561" s="148">
        <v>7</v>
      </c>
      <c r="H1561" s="148"/>
      <c r="I1561" s="148"/>
      <c r="J1561" s="170">
        <f t="shared" si="90"/>
        <v>7</v>
      </c>
      <c r="L1561" s="10"/>
      <c r="M1561" s="10"/>
      <c r="N1561" s="10"/>
      <c r="O1561" s="10"/>
      <c r="P1561" s="10"/>
      <c r="Q1561" s="10"/>
      <c r="R1561" s="10"/>
      <c r="S1561" s="10"/>
      <c r="T1561" s="10"/>
      <c r="U1561" s="10"/>
      <c r="V1561" s="10"/>
      <c r="W1561" s="10"/>
      <c r="X1561" s="10"/>
      <c r="Y1561" s="10"/>
    </row>
    <row r="1562" spans="1:25" ht="16.5" customHeight="1" x14ac:dyDescent="0.2">
      <c r="A1562" s="403" t="s">
        <v>792</v>
      </c>
      <c r="B1562" s="404"/>
      <c r="C1562" s="405"/>
      <c r="D1562" s="148"/>
      <c r="E1562" s="148"/>
      <c r="F1562" s="148"/>
      <c r="G1562" s="148">
        <v>7</v>
      </c>
      <c r="H1562" s="148"/>
      <c r="I1562" s="148"/>
      <c r="J1562" s="170">
        <f t="shared" si="90"/>
        <v>7</v>
      </c>
      <c r="L1562" s="10"/>
      <c r="M1562" s="10"/>
      <c r="N1562" s="10"/>
      <c r="O1562" s="10"/>
      <c r="P1562" s="10"/>
      <c r="Q1562" s="10"/>
      <c r="R1562" s="10"/>
      <c r="S1562" s="10"/>
      <c r="T1562" s="10"/>
      <c r="U1562" s="10"/>
      <c r="V1562" s="10"/>
      <c r="W1562" s="10"/>
      <c r="X1562" s="10"/>
      <c r="Y1562" s="10"/>
    </row>
    <row r="1563" spans="1:25" ht="16.5" customHeight="1" x14ac:dyDescent="0.2">
      <c r="A1563" s="403" t="s">
        <v>687</v>
      </c>
      <c r="B1563" s="404"/>
      <c r="C1563" s="405"/>
      <c r="D1563" s="148"/>
      <c r="E1563" s="148"/>
      <c r="F1563" s="148"/>
      <c r="G1563" s="148">
        <v>7</v>
      </c>
      <c r="H1563" s="148"/>
      <c r="I1563" s="148"/>
      <c r="J1563" s="170">
        <f t="shared" si="90"/>
        <v>7</v>
      </c>
      <c r="L1563" s="10"/>
      <c r="M1563" s="10"/>
      <c r="N1563" s="10"/>
      <c r="O1563" s="10"/>
      <c r="P1563" s="10"/>
      <c r="Q1563" s="10"/>
      <c r="R1563" s="10"/>
      <c r="S1563" s="10"/>
      <c r="T1563" s="10"/>
      <c r="U1563" s="10"/>
      <c r="V1563" s="10"/>
      <c r="W1563" s="10"/>
      <c r="X1563" s="10"/>
      <c r="Y1563" s="10"/>
    </row>
    <row r="1564" spans="1:25" ht="16.5" customHeight="1" x14ac:dyDescent="0.2">
      <c r="A1564" s="342" t="str">
        <f>"TOTAL - "&amp;'Planilha orçamentária'!F104</f>
        <v>TOTAL - UN</v>
      </c>
      <c r="B1564" s="342"/>
      <c r="C1564" s="342"/>
      <c r="D1564" s="342"/>
      <c r="E1564" s="342"/>
      <c r="F1564" s="342"/>
      <c r="G1564" s="342"/>
      <c r="H1564" s="342"/>
      <c r="I1564" s="342"/>
      <c r="J1564" s="149">
        <f>SUM(J1548:J1563)</f>
        <v>112</v>
      </c>
      <c r="K1564" s="10"/>
      <c r="L1564" s="10"/>
      <c r="M1564" s="10"/>
      <c r="N1564" s="10"/>
      <c r="O1564" s="10"/>
      <c r="P1564" s="10"/>
      <c r="Q1564" s="10"/>
      <c r="R1564" s="10"/>
      <c r="S1564" s="10"/>
      <c r="T1564" s="10"/>
      <c r="U1564" s="10"/>
      <c r="V1564" s="10"/>
      <c r="W1564" s="10"/>
      <c r="X1564" s="10"/>
      <c r="Y1564" s="10"/>
    </row>
    <row r="1565" spans="1:25" ht="25.5" customHeight="1" x14ac:dyDescent="0.2">
      <c r="A1565" s="184" t="str">
        <f>'Planilha orçamentária'!A105</f>
        <v>13.7</v>
      </c>
      <c r="B1565" s="343" t="str">
        <f>'Planilha orçamentária'!D105</f>
        <v>Ponto de embutir para esgoto em tubo pvc rígido, PB - série normal, DN 40mm (1.1/2"), embutido na alvenaria/piso, com altura (saída) de 50cm do piso, com distância de até cinco (5) metros da ramal de esgoto, exclusive escavação, inclusive conexões e fixação do tubo com enchimento do rasgo na alvenaria/concreto com argamassa</v>
      </c>
      <c r="C1565" s="344"/>
      <c r="D1565" s="344"/>
      <c r="E1565" s="344"/>
      <c r="F1565" s="344"/>
      <c r="G1565" s="344"/>
      <c r="H1565" s="344"/>
      <c r="I1565" s="344"/>
      <c r="J1565" s="344"/>
      <c r="K1565" s="10"/>
      <c r="L1565" s="10"/>
      <c r="M1565" s="10"/>
      <c r="N1565" s="10"/>
      <c r="O1565" s="10"/>
      <c r="P1565" s="10"/>
      <c r="Q1565" s="10"/>
      <c r="R1565" s="10"/>
      <c r="S1565" s="10"/>
      <c r="T1565" s="10"/>
      <c r="U1565" s="10"/>
      <c r="V1565" s="10"/>
      <c r="W1565" s="10"/>
      <c r="X1565" s="10"/>
      <c r="Y1565" s="10"/>
    </row>
    <row r="1566" spans="1:25" ht="16.5" customHeight="1" x14ac:dyDescent="0.2">
      <c r="A1566" s="327" t="s">
        <v>120</v>
      </c>
      <c r="B1566" s="328"/>
      <c r="C1566" s="328"/>
      <c r="D1566" s="182" t="s">
        <v>121</v>
      </c>
      <c r="E1566" s="182" t="s">
        <v>122</v>
      </c>
      <c r="F1566" s="181" t="s">
        <v>123</v>
      </c>
      <c r="G1566" s="181" t="s">
        <v>124</v>
      </c>
      <c r="H1566" s="181" t="s">
        <v>125</v>
      </c>
      <c r="I1566" s="182" t="s">
        <v>126</v>
      </c>
      <c r="J1566" s="182" t="s">
        <v>113</v>
      </c>
      <c r="K1566" s="10"/>
      <c r="L1566" s="10"/>
      <c r="M1566" s="10"/>
      <c r="N1566" s="10"/>
      <c r="O1566" s="10"/>
      <c r="P1566" s="10"/>
      <c r="Q1566" s="10"/>
      <c r="R1566" s="10"/>
      <c r="S1566" s="10"/>
      <c r="T1566" s="10"/>
      <c r="U1566" s="10"/>
      <c r="V1566" s="10"/>
      <c r="W1566" s="10"/>
      <c r="X1566" s="10"/>
      <c r="Y1566" s="10"/>
    </row>
    <row r="1567" spans="1:25" ht="16.5" customHeight="1" x14ac:dyDescent="0.2">
      <c r="A1567" s="403" t="s">
        <v>671</v>
      </c>
      <c r="B1567" s="404"/>
      <c r="C1567" s="405"/>
      <c r="D1567" s="148"/>
      <c r="E1567" s="148"/>
      <c r="F1567" s="148"/>
      <c r="G1567" s="148">
        <v>7</v>
      </c>
      <c r="H1567" s="148"/>
      <c r="I1567" s="148"/>
      <c r="J1567" s="170">
        <f t="shared" ref="J1567:J1582" si="91">PRODUCT(D1567:H1567)-I1567</f>
        <v>7</v>
      </c>
      <c r="L1567" s="10"/>
      <c r="M1567" s="10"/>
      <c r="N1567" s="10"/>
      <c r="O1567" s="10"/>
      <c r="P1567" s="10"/>
      <c r="Q1567" s="10"/>
      <c r="R1567" s="10"/>
      <c r="S1567" s="10"/>
      <c r="T1567" s="10"/>
      <c r="U1567" s="10"/>
      <c r="V1567" s="10"/>
      <c r="W1567" s="10"/>
      <c r="X1567" s="10"/>
      <c r="Y1567" s="10"/>
    </row>
    <row r="1568" spans="1:25" ht="16.5" customHeight="1" x14ac:dyDescent="0.2">
      <c r="A1568" s="403" t="s">
        <v>672</v>
      </c>
      <c r="B1568" s="404"/>
      <c r="C1568" s="405"/>
      <c r="D1568" s="148"/>
      <c r="E1568" s="148"/>
      <c r="F1568" s="148"/>
      <c r="G1568" s="148">
        <v>7</v>
      </c>
      <c r="H1568" s="148"/>
      <c r="I1568" s="148"/>
      <c r="J1568" s="170">
        <f t="shared" si="91"/>
        <v>7</v>
      </c>
      <c r="L1568" s="10"/>
      <c r="M1568" s="10"/>
      <c r="N1568" s="10"/>
      <c r="O1568" s="10"/>
      <c r="P1568" s="10"/>
      <c r="Q1568" s="10"/>
      <c r="R1568" s="10"/>
      <c r="S1568" s="10"/>
      <c r="T1568" s="10"/>
      <c r="U1568" s="10"/>
      <c r="V1568" s="10"/>
      <c r="W1568" s="10"/>
      <c r="X1568" s="10"/>
      <c r="Y1568" s="10"/>
    </row>
    <row r="1569" spans="1:25" ht="16.5" customHeight="1" x14ac:dyDescent="0.2">
      <c r="A1569" s="403" t="s">
        <v>673</v>
      </c>
      <c r="B1569" s="404"/>
      <c r="C1569" s="405"/>
      <c r="D1569" s="148"/>
      <c r="E1569" s="148"/>
      <c r="F1569" s="148"/>
      <c r="G1569" s="148">
        <v>7</v>
      </c>
      <c r="H1569" s="148"/>
      <c r="I1569" s="148"/>
      <c r="J1569" s="170">
        <f t="shared" si="91"/>
        <v>7</v>
      </c>
      <c r="L1569" s="10"/>
      <c r="M1569" s="10"/>
      <c r="N1569" s="10"/>
      <c r="O1569" s="10"/>
      <c r="P1569" s="10"/>
      <c r="Q1569" s="10"/>
      <c r="R1569" s="10"/>
      <c r="S1569" s="10"/>
      <c r="T1569" s="10"/>
      <c r="U1569" s="10"/>
      <c r="V1569" s="10"/>
      <c r="W1569" s="10"/>
      <c r="X1569" s="10"/>
      <c r="Y1569" s="10"/>
    </row>
    <row r="1570" spans="1:25" ht="16.5" customHeight="1" x14ac:dyDescent="0.2">
      <c r="A1570" s="403" t="s">
        <v>674</v>
      </c>
      <c r="B1570" s="404"/>
      <c r="C1570" s="405"/>
      <c r="D1570" s="148"/>
      <c r="E1570" s="148"/>
      <c r="F1570" s="148"/>
      <c r="G1570" s="148">
        <v>7</v>
      </c>
      <c r="H1570" s="148"/>
      <c r="I1570" s="148"/>
      <c r="J1570" s="170">
        <f t="shared" si="91"/>
        <v>7</v>
      </c>
      <c r="L1570" s="10"/>
      <c r="M1570" s="10"/>
      <c r="N1570" s="10"/>
      <c r="O1570" s="10"/>
      <c r="P1570" s="10"/>
      <c r="Q1570" s="10"/>
      <c r="R1570" s="10"/>
      <c r="S1570" s="10"/>
      <c r="T1570" s="10"/>
      <c r="U1570" s="10"/>
      <c r="V1570" s="10"/>
      <c r="W1570" s="10"/>
      <c r="X1570" s="10"/>
      <c r="Y1570" s="10"/>
    </row>
    <row r="1571" spans="1:25" ht="16.5" customHeight="1" x14ac:dyDescent="0.2">
      <c r="A1571" s="403" t="s">
        <v>816</v>
      </c>
      <c r="B1571" s="404"/>
      <c r="C1571" s="405"/>
      <c r="D1571" s="148"/>
      <c r="E1571" s="148"/>
      <c r="F1571" s="148"/>
      <c r="G1571" s="148">
        <v>7</v>
      </c>
      <c r="H1571" s="148"/>
      <c r="I1571" s="148"/>
      <c r="J1571" s="170">
        <f t="shared" si="91"/>
        <v>7</v>
      </c>
      <c r="L1571" s="10"/>
      <c r="M1571" s="10"/>
      <c r="N1571" s="10"/>
      <c r="O1571" s="10"/>
      <c r="P1571" s="10"/>
      <c r="Q1571" s="10"/>
      <c r="R1571" s="10"/>
      <c r="S1571" s="10"/>
      <c r="T1571" s="10"/>
      <c r="U1571" s="10"/>
      <c r="V1571" s="10"/>
      <c r="W1571" s="10"/>
      <c r="X1571" s="10"/>
      <c r="Y1571" s="10"/>
    </row>
    <row r="1572" spans="1:25" ht="16.5" customHeight="1" x14ac:dyDescent="0.2">
      <c r="A1572" s="403" t="s">
        <v>676</v>
      </c>
      <c r="B1572" s="404"/>
      <c r="C1572" s="405"/>
      <c r="D1572" s="148"/>
      <c r="E1572" s="148"/>
      <c r="F1572" s="148"/>
      <c r="G1572" s="148">
        <v>7</v>
      </c>
      <c r="H1572" s="148"/>
      <c r="I1572" s="148"/>
      <c r="J1572" s="170">
        <f t="shared" si="91"/>
        <v>7</v>
      </c>
      <c r="L1572" s="10"/>
      <c r="M1572" s="10"/>
      <c r="N1572" s="10"/>
      <c r="O1572" s="10"/>
      <c r="P1572" s="10"/>
      <c r="Q1572" s="10"/>
      <c r="R1572" s="10"/>
      <c r="S1572" s="10"/>
      <c r="T1572" s="10"/>
      <c r="U1572" s="10"/>
      <c r="V1572" s="10"/>
      <c r="W1572" s="10"/>
      <c r="X1572" s="10"/>
      <c r="Y1572" s="10"/>
    </row>
    <row r="1573" spans="1:25" ht="16.5" customHeight="1" x14ac:dyDescent="0.2">
      <c r="A1573" s="403" t="s">
        <v>677</v>
      </c>
      <c r="B1573" s="404"/>
      <c r="C1573" s="405"/>
      <c r="D1573" s="148"/>
      <c r="E1573" s="148"/>
      <c r="F1573" s="148"/>
      <c r="G1573" s="148">
        <v>7</v>
      </c>
      <c r="H1573" s="148"/>
      <c r="I1573" s="148"/>
      <c r="J1573" s="170">
        <f t="shared" si="91"/>
        <v>7</v>
      </c>
      <c r="L1573" s="10"/>
      <c r="M1573" s="10"/>
      <c r="N1573" s="10"/>
      <c r="O1573" s="10"/>
      <c r="P1573" s="10"/>
      <c r="Q1573" s="10"/>
      <c r="R1573" s="10"/>
      <c r="S1573" s="10"/>
      <c r="T1573" s="10"/>
      <c r="U1573" s="10"/>
      <c r="V1573" s="10"/>
      <c r="W1573" s="10"/>
      <c r="X1573" s="10"/>
      <c r="Y1573" s="10"/>
    </row>
    <row r="1574" spans="1:25" ht="16.5" customHeight="1" x14ac:dyDescent="0.2">
      <c r="A1574" s="403" t="s">
        <v>678</v>
      </c>
      <c r="B1574" s="404"/>
      <c r="C1574" s="405"/>
      <c r="D1574" s="148"/>
      <c r="E1574" s="148"/>
      <c r="F1574" s="148"/>
      <c r="G1574" s="148">
        <v>7</v>
      </c>
      <c r="H1574" s="148"/>
      <c r="I1574" s="148"/>
      <c r="J1574" s="170">
        <f t="shared" si="91"/>
        <v>7</v>
      </c>
      <c r="L1574" s="10"/>
      <c r="M1574" s="10"/>
      <c r="N1574" s="10"/>
      <c r="O1574" s="10"/>
      <c r="P1574" s="10"/>
      <c r="Q1574" s="10"/>
      <c r="R1574" s="10"/>
      <c r="S1574" s="10"/>
      <c r="T1574" s="10"/>
      <c r="U1574" s="10"/>
      <c r="V1574" s="10"/>
      <c r="W1574" s="10"/>
      <c r="X1574" s="10"/>
      <c r="Y1574" s="10"/>
    </row>
    <row r="1575" spans="1:25" ht="16.5" customHeight="1" x14ac:dyDescent="0.2">
      <c r="A1575" s="403" t="s">
        <v>679</v>
      </c>
      <c r="B1575" s="404"/>
      <c r="C1575" s="405"/>
      <c r="D1575" s="148"/>
      <c r="E1575" s="148"/>
      <c r="F1575" s="148"/>
      <c r="G1575" s="148">
        <v>7</v>
      </c>
      <c r="H1575" s="148"/>
      <c r="I1575" s="148"/>
      <c r="J1575" s="170">
        <f t="shared" si="91"/>
        <v>7</v>
      </c>
      <c r="L1575" s="10"/>
      <c r="M1575" s="10"/>
      <c r="N1575" s="10"/>
      <c r="O1575" s="10"/>
      <c r="P1575" s="10"/>
      <c r="Q1575" s="10"/>
      <c r="R1575" s="10"/>
      <c r="S1575" s="10"/>
      <c r="T1575" s="10"/>
      <c r="U1575" s="10"/>
      <c r="V1575" s="10"/>
      <c r="W1575" s="10"/>
      <c r="X1575" s="10"/>
      <c r="Y1575" s="10"/>
    </row>
    <row r="1576" spans="1:25" ht="16.5" customHeight="1" x14ac:dyDescent="0.2">
      <c r="A1576" s="403" t="s">
        <v>769</v>
      </c>
      <c r="B1576" s="404"/>
      <c r="C1576" s="405"/>
      <c r="D1576" s="148"/>
      <c r="E1576" s="148"/>
      <c r="F1576" s="148"/>
      <c r="G1576" s="148">
        <v>7</v>
      </c>
      <c r="H1576" s="148"/>
      <c r="I1576" s="148"/>
      <c r="J1576" s="170">
        <f t="shared" si="91"/>
        <v>7</v>
      </c>
      <c r="L1576" s="10"/>
      <c r="M1576" s="10"/>
      <c r="N1576" s="10"/>
      <c r="O1576" s="10"/>
      <c r="P1576" s="10"/>
      <c r="Q1576" s="10"/>
      <c r="R1576" s="10"/>
      <c r="S1576" s="10"/>
      <c r="T1576" s="10"/>
      <c r="U1576" s="10"/>
      <c r="V1576" s="10"/>
      <c r="W1576" s="10"/>
      <c r="X1576" s="10"/>
      <c r="Y1576" s="10"/>
    </row>
    <row r="1577" spans="1:25" ht="16.5" customHeight="1" x14ac:dyDescent="0.2">
      <c r="A1577" s="403" t="s">
        <v>681</v>
      </c>
      <c r="B1577" s="404"/>
      <c r="C1577" s="405"/>
      <c r="D1577" s="148"/>
      <c r="E1577" s="148"/>
      <c r="F1577" s="148"/>
      <c r="G1577" s="148">
        <v>7</v>
      </c>
      <c r="H1577" s="148"/>
      <c r="I1577" s="148"/>
      <c r="J1577" s="170">
        <f t="shared" si="91"/>
        <v>7</v>
      </c>
      <c r="L1577" s="10"/>
      <c r="M1577" s="10"/>
      <c r="N1577" s="10"/>
      <c r="O1577" s="10"/>
      <c r="P1577" s="10"/>
      <c r="Q1577" s="10"/>
      <c r="R1577" s="10"/>
      <c r="S1577" s="10"/>
      <c r="T1577" s="10"/>
      <c r="U1577" s="10"/>
      <c r="V1577" s="10"/>
      <c r="W1577" s="10"/>
      <c r="X1577" s="10"/>
      <c r="Y1577" s="10"/>
    </row>
    <row r="1578" spans="1:25" ht="16.5" customHeight="1" x14ac:dyDescent="0.2">
      <c r="A1578" s="403" t="s">
        <v>682</v>
      </c>
      <c r="B1578" s="404"/>
      <c r="C1578" s="405"/>
      <c r="D1578" s="148"/>
      <c r="E1578" s="148"/>
      <c r="F1578" s="148"/>
      <c r="G1578" s="148">
        <v>7</v>
      </c>
      <c r="H1578" s="148"/>
      <c r="I1578" s="148"/>
      <c r="J1578" s="170">
        <f t="shared" si="91"/>
        <v>7</v>
      </c>
      <c r="L1578" s="10"/>
      <c r="M1578" s="10"/>
      <c r="N1578" s="10"/>
      <c r="O1578" s="10"/>
      <c r="P1578" s="10"/>
      <c r="Q1578" s="10"/>
      <c r="R1578" s="10"/>
      <c r="S1578" s="10"/>
      <c r="T1578" s="10"/>
      <c r="U1578" s="10"/>
      <c r="V1578" s="10"/>
      <c r="W1578" s="10"/>
      <c r="X1578" s="10"/>
      <c r="Y1578" s="10"/>
    </row>
    <row r="1579" spans="1:25" ht="16.5" customHeight="1" x14ac:dyDescent="0.2">
      <c r="A1579" s="403" t="s">
        <v>683</v>
      </c>
      <c r="B1579" s="404"/>
      <c r="C1579" s="405"/>
      <c r="D1579" s="148"/>
      <c r="E1579" s="148"/>
      <c r="F1579" s="148"/>
      <c r="G1579" s="148">
        <v>7</v>
      </c>
      <c r="H1579" s="148"/>
      <c r="I1579" s="148"/>
      <c r="J1579" s="170">
        <f t="shared" si="91"/>
        <v>7</v>
      </c>
      <c r="L1579" s="10"/>
      <c r="M1579" s="10"/>
      <c r="N1579" s="10"/>
      <c r="O1579" s="10"/>
      <c r="P1579" s="10"/>
      <c r="Q1579" s="10"/>
      <c r="R1579" s="10"/>
      <c r="S1579" s="10"/>
      <c r="T1579" s="10"/>
      <c r="U1579" s="10"/>
      <c r="V1579" s="10"/>
      <c r="W1579" s="10"/>
      <c r="X1579" s="10"/>
      <c r="Y1579" s="10"/>
    </row>
    <row r="1580" spans="1:25" ht="16.5" customHeight="1" x14ac:dyDescent="0.2">
      <c r="A1580" s="403" t="s">
        <v>817</v>
      </c>
      <c r="B1580" s="404"/>
      <c r="C1580" s="405"/>
      <c r="D1580" s="148"/>
      <c r="E1580" s="148"/>
      <c r="F1580" s="148"/>
      <c r="G1580" s="148">
        <v>7</v>
      </c>
      <c r="H1580" s="148"/>
      <c r="I1580" s="148"/>
      <c r="J1580" s="170">
        <f t="shared" si="91"/>
        <v>7</v>
      </c>
      <c r="L1580" s="10"/>
      <c r="M1580" s="10"/>
      <c r="N1580" s="10"/>
      <c r="O1580" s="10"/>
      <c r="P1580" s="10"/>
      <c r="Q1580" s="10"/>
      <c r="R1580" s="10"/>
      <c r="S1580" s="10"/>
      <c r="T1580" s="10"/>
      <c r="U1580" s="10"/>
      <c r="V1580" s="10"/>
      <c r="W1580" s="10"/>
      <c r="X1580" s="10"/>
      <c r="Y1580" s="10"/>
    </row>
    <row r="1581" spans="1:25" ht="16.5" customHeight="1" x14ac:dyDescent="0.2">
      <c r="A1581" s="403" t="s">
        <v>792</v>
      </c>
      <c r="B1581" s="404"/>
      <c r="C1581" s="405"/>
      <c r="D1581" s="148"/>
      <c r="E1581" s="148"/>
      <c r="F1581" s="148"/>
      <c r="G1581" s="148">
        <v>7</v>
      </c>
      <c r="H1581" s="148"/>
      <c r="I1581" s="148"/>
      <c r="J1581" s="170">
        <f t="shared" si="91"/>
        <v>7</v>
      </c>
      <c r="L1581" s="10"/>
      <c r="M1581" s="10"/>
      <c r="N1581" s="10"/>
      <c r="O1581" s="10"/>
      <c r="P1581" s="10"/>
      <c r="Q1581" s="10"/>
      <c r="R1581" s="10"/>
      <c r="S1581" s="10"/>
      <c r="T1581" s="10"/>
      <c r="U1581" s="10"/>
      <c r="V1581" s="10"/>
      <c r="W1581" s="10"/>
      <c r="X1581" s="10"/>
      <c r="Y1581" s="10"/>
    </row>
    <row r="1582" spans="1:25" ht="16.5" customHeight="1" x14ac:dyDescent="0.2">
      <c r="A1582" s="403" t="s">
        <v>687</v>
      </c>
      <c r="B1582" s="404"/>
      <c r="C1582" s="405"/>
      <c r="D1582" s="148"/>
      <c r="E1582" s="148"/>
      <c r="F1582" s="148"/>
      <c r="G1582" s="148">
        <v>7</v>
      </c>
      <c r="H1582" s="148"/>
      <c r="I1582" s="148"/>
      <c r="J1582" s="170">
        <f t="shared" si="91"/>
        <v>7</v>
      </c>
      <c r="L1582" s="10"/>
      <c r="M1582" s="10"/>
      <c r="N1582" s="10"/>
      <c r="O1582" s="10"/>
      <c r="P1582" s="10"/>
      <c r="Q1582" s="10"/>
      <c r="R1582" s="10"/>
      <c r="S1582" s="10"/>
      <c r="T1582" s="10"/>
      <c r="U1582" s="10"/>
      <c r="V1582" s="10"/>
      <c r="W1582" s="10"/>
      <c r="X1582" s="10"/>
      <c r="Y1582" s="10"/>
    </row>
    <row r="1583" spans="1:25" ht="16.5" customHeight="1" x14ac:dyDescent="0.2">
      <c r="A1583" s="342" t="str">
        <f>"TOTAL - "&amp;'Planilha orçamentária'!F105</f>
        <v>TOTAL - UN</v>
      </c>
      <c r="B1583" s="342"/>
      <c r="C1583" s="342"/>
      <c r="D1583" s="342"/>
      <c r="E1583" s="342"/>
      <c r="F1583" s="342"/>
      <c r="G1583" s="342"/>
      <c r="H1583" s="342"/>
      <c r="I1583" s="342"/>
      <c r="J1583" s="149">
        <f>SUM(J1567:J1582)</f>
        <v>112</v>
      </c>
      <c r="K1583" s="10"/>
      <c r="L1583" s="10"/>
      <c r="M1583" s="10"/>
      <c r="N1583" s="10"/>
      <c r="O1583" s="10"/>
      <c r="P1583" s="10"/>
      <c r="Q1583" s="10"/>
      <c r="R1583" s="10"/>
      <c r="S1583" s="10"/>
      <c r="T1583" s="10"/>
      <c r="U1583" s="10"/>
      <c r="V1583" s="10"/>
      <c r="W1583" s="10"/>
      <c r="X1583" s="10"/>
      <c r="Y1583" s="10"/>
    </row>
    <row r="1584" spans="1:25" ht="25.5" customHeight="1" x14ac:dyDescent="0.2">
      <c r="A1584" s="184" t="str">
        <f>'Planilha orçamentária'!A106</f>
        <v>13.8</v>
      </c>
      <c r="B1584" s="343" t="str">
        <f>'Planilha orçamentária'!D106</f>
        <v>Ponto de embutir para esgoto em tubo pvc rígido, PBV - série normal, DN 100mm (4"), embutido em piso com distância de até cinco (5) metros do ramal de esgoto, inclusive conexões e fixação do tubo com enchimento do rasgo no concreto com argamassa</v>
      </c>
      <c r="C1584" s="344"/>
      <c r="D1584" s="344"/>
      <c r="E1584" s="344"/>
      <c r="F1584" s="344"/>
      <c r="G1584" s="344"/>
      <c r="H1584" s="344"/>
      <c r="I1584" s="344"/>
      <c r="J1584" s="344"/>
      <c r="K1584" s="10"/>
      <c r="L1584" s="10"/>
      <c r="M1584" s="10"/>
      <c r="N1584" s="10"/>
      <c r="O1584" s="10"/>
      <c r="P1584" s="10"/>
      <c r="Q1584" s="10"/>
      <c r="R1584" s="10"/>
      <c r="S1584" s="10"/>
      <c r="T1584" s="10"/>
      <c r="U1584" s="10"/>
      <c r="V1584" s="10"/>
      <c r="W1584" s="10"/>
      <c r="X1584" s="10"/>
      <c r="Y1584" s="10"/>
    </row>
    <row r="1585" spans="1:25" ht="16.5" customHeight="1" x14ac:dyDescent="0.2">
      <c r="A1585" s="327" t="s">
        <v>120</v>
      </c>
      <c r="B1585" s="328"/>
      <c r="C1585" s="328"/>
      <c r="D1585" s="182" t="s">
        <v>121</v>
      </c>
      <c r="E1585" s="182" t="s">
        <v>122</v>
      </c>
      <c r="F1585" s="181" t="s">
        <v>123</v>
      </c>
      <c r="G1585" s="181" t="s">
        <v>124</v>
      </c>
      <c r="H1585" s="181" t="s">
        <v>125</v>
      </c>
      <c r="I1585" s="182" t="s">
        <v>126</v>
      </c>
      <c r="J1585" s="182" t="s">
        <v>113</v>
      </c>
      <c r="K1585" s="10"/>
      <c r="L1585" s="10"/>
      <c r="M1585" s="10"/>
      <c r="N1585" s="10"/>
      <c r="O1585" s="10"/>
      <c r="P1585" s="10"/>
      <c r="Q1585" s="10"/>
      <c r="R1585" s="10"/>
      <c r="S1585" s="10"/>
      <c r="T1585" s="10"/>
      <c r="U1585" s="10"/>
      <c r="V1585" s="10"/>
      <c r="W1585" s="10"/>
      <c r="X1585" s="10"/>
      <c r="Y1585" s="10"/>
    </row>
    <row r="1586" spans="1:25" ht="16.5" customHeight="1" x14ac:dyDescent="0.2">
      <c r="A1586" s="403" t="s">
        <v>671</v>
      </c>
      <c r="B1586" s="404"/>
      <c r="C1586" s="405"/>
      <c r="D1586" s="148"/>
      <c r="E1586" s="148"/>
      <c r="F1586" s="148"/>
      <c r="G1586" s="148">
        <v>21</v>
      </c>
      <c r="H1586" s="148"/>
      <c r="I1586" s="148"/>
      <c r="J1586" s="170">
        <f t="shared" ref="J1586:J1602" si="92">PRODUCT(D1586:H1586)-I1586</f>
        <v>21</v>
      </c>
      <c r="L1586" s="10"/>
      <c r="M1586" s="10"/>
      <c r="N1586" s="10"/>
      <c r="O1586" s="10"/>
      <c r="P1586" s="10"/>
      <c r="Q1586" s="10"/>
      <c r="R1586" s="10"/>
      <c r="S1586" s="10"/>
      <c r="T1586" s="10"/>
      <c r="U1586" s="10"/>
      <c r="V1586" s="10"/>
      <c r="W1586" s="10"/>
      <c r="X1586" s="10"/>
      <c r="Y1586" s="10"/>
    </row>
    <row r="1587" spans="1:25" ht="16.5" customHeight="1" x14ac:dyDescent="0.2">
      <c r="A1587" s="403" t="s">
        <v>672</v>
      </c>
      <c r="B1587" s="404"/>
      <c r="C1587" s="405"/>
      <c r="D1587" s="148"/>
      <c r="E1587" s="148"/>
      <c r="F1587" s="148"/>
      <c r="G1587" s="148">
        <v>21</v>
      </c>
      <c r="H1587" s="148"/>
      <c r="I1587" s="148"/>
      <c r="J1587" s="170">
        <f t="shared" si="92"/>
        <v>21</v>
      </c>
      <c r="L1587" s="10"/>
      <c r="M1587" s="10"/>
      <c r="N1587" s="10"/>
      <c r="O1587" s="10"/>
      <c r="P1587" s="10"/>
      <c r="Q1587" s="10"/>
      <c r="R1587" s="10"/>
      <c r="S1587" s="10"/>
      <c r="T1587" s="10"/>
      <c r="U1587" s="10"/>
      <c r="V1587" s="10"/>
      <c r="W1587" s="10"/>
      <c r="X1587" s="10"/>
      <c r="Y1587" s="10"/>
    </row>
    <row r="1588" spans="1:25" ht="16.5" customHeight="1" x14ac:dyDescent="0.2">
      <c r="A1588" s="403" t="s">
        <v>673</v>
      </c>
      <c r="B1588" s="404"/>
      <c r="C1588" s="405"/>
      <c r="D1588" s="148"/>
      <c r="E1588" s="148"/>
      <c r="F1588" s="148"/>
      <c r="G1588" s="148">
        <v>21</v>
      </c>
      <c r="H1588" s="148"/>
      <c r="I1588" s="148"/>
      <c r="J1588" s="170">
        <f t="shared" si="92"/>
        <v>21</v>
      </c>
      <c r="L1588" s="10"/>
      <c r="M1588" s="10"/>
      <c r="N1588" s="10"/>
      <c r="O1588" s="10"/>
      <c r="P1588" s="10"/>
      <c r="Q1588" s="10"/>
      <c r="R1588" s="10"/>
      <c r="S1588" s="10"/>
      <c r="T1588" s="10"/>
      <c r="U1588" s="10"/>
      <c r="V1588" s="10"/>
      <c r="W1588" s="10"/>
      <c r="X1588" s="10"/>
      <c r="Y1588" s="10"/>
    </row>
    <row r="1589" spans="1:25" ht="16.5" customHeight="1" x14ac:dyDescent="0.2">
      <c r="A1589" s="403" t="s">
        <v>674</v>
      </c>
      <c r="B1589" s="404"/>
      <c r="C1589" s="405"/>
      <c r="D1589" s="148"/>
      <c r="E1589" s="148"/>
      <c r="F1589" s="148"/>
      <c r="G1589" s="148">
        <v>21</v>
      </c>
      <c r="H1589" s="148"/>
      <c r="I1589" s="148"/>
      <c r="J1589" s="170">
        <f t="shared" si="92"/>
        <v>21</v>
      </c>
      <c r="L1589" s="10"/>
      <c r="M1589" s="10"/>
      <c r="N1589" s="10"/>
      <c r="O1589" s="10"/>
      <c r="P1589" s="10"/>
      <c r="Q1589" s="10"/>
      <c r="R1589" s="10"/>
      <c r="S1589" s="10"/>
      <c r="T1589" s="10"/>
      <c r="U1589" s="10"/>
      <c r="V1589" s="10"/>
      <c r="W1589" s="10"/>
      <c r="X1589" s="10"/>
      <c r="Y1589" s="10"/>
    </row>
    <row r="1590" spans="1:25" ht="16.5" customHeight="1" x14ac:dyDescent="0.2">
      <c r="A1590" s="403" t="s">
        <v>816</v>
      </c>
      <c r="B1590" s="404"/>
      <c r="C1590" s="405"/>
      <c r="D1590" s="148"/>
      <c r="E1590" s="148"/>
      <c r="F1590" s="148"/>
      <c r="G1590" s="148">
        <v>21</v>
      </c>
      <c r="H1590" s="148"/>
      <c r="I1590" s="148"/>
      <c r="J1590" s="170">
        <f t="shared" si="92"/>
        <v>21</v>
      </c>
      <c r="L1590" s="10"/>
      <c r="M1590" s="10"/>
      <c r="N1590" s="10"/>
      <c r="O1590" s="10"/>
      <c r="P1590" s="10"/>
      <c r="Q1590" s="10"/>
      <c r="R1590" s="10"/>
      <c r="S1590" s="10"/>
      <c r="T1590" s="10"/>
      <c r="U1590" s="10"/>
      <c r="V1590" s="10"/>
      <c r="W1590" s="10"/>
      <c r="X1590" s="10"/>
      <c r="Y1590" s="10"/>
    </row>
    <row r="1591" spans="1:25" ht="16.5" customHeight="1" x14ac:dyDescent="0.2">
      <c r="A1591" s="403" t="s">
        <v>676</v>
      </c>
      <c r="B1591" s="404"/>
      <c r="C1591" s="405"/>
      <c r="D1591" s="148"/>
      <c r="E1591" s="148"/>
      <c r="F1591" s="148"/>
      <c r="G1591" s="148">
        <v>21</v>
      </c>
      <c r="H1591" s="148"/>
      <c r="I1591" s="148"/>
      <c r="J1591" s="170">
        <f t="shared" si="92"/>
        <v>21</v>
      </c>
      <c r="L1591" s="10"/>
      <c r="M1591" s="10"/>
      <c r="N1591" s="10"/>
      <c r="O1591" s="10"/>
      <c r="P1591" s="10"/>
      <c r="Q1591" s="10"/>
      <c r="R1591" s="10"/>
      <c r="S1591" s="10"/>
      <c r="T1591" s="10"/>
      <c r="U1591" s="10"/>
      <c r="V1591" s="10"/>
      <c r="W1591" s="10"/>
      <c r="X1591" s="10"/>
      <c r="Y1591" s="10"/>
    </row>
    <row r="1592" spans="1:25" ht="16.5" customHeight="1" x14ac:dyDescent="0.2">
      <c r="A1592" s="403" t="s">
        <v>677</v>
      </c>
      <c r="B1592" s="404"/>
      <c r="C1592" s="405"/>
      <c r="D1592" s="148"/>
      <c r="E1592" s="148"/>
      <c r="F1592" s="148"/>
      <c r="G1592" s="148">
        <v>21</v>
      </c>
      <c r="H1592" s="148"/>
      <c r="I1592" s="148"/>
      <c r="J1592" s="170">
        <f t="shared" si="92"/>
        <v>21</v>
      </c>
      <c r="L1592" s="10"/>
      <c r="M1592" s="10"/>
      <c r="N1592" s="10"/>
      <c r="O1592" s="10"/>
      <c r="P1592" s="10"/>
      <c r="Q1592" s="10"/>
      <c r="R1592" s="10"/>
      <c r="S1592" s="10"/>
      <c r="T1592" s="10"/>
      <c r="U1592" s="10"/>
      <c r="V1592" s="10"/>
      <c r="W1592" s="10"/>
      <c r="X1592" s="10"/>
      <c r="Y1592" s="10"/>
    </row>
    <row r="1593" spans="1:25" ht="16.5" customHeight="1" x14ac:dyDescent="0.2">
      <c r="A1593" s="403" t="s">
        <v>678</v>
      </c>
      <c r="B1593" s="404"/>
      <c r="C1593" s="405"/>
      <c r="D1593" s="148"/>
      <c r="E1593" s="148"/>
      <c r="F1593" s="148"/>
      <c r="G1593" s="148">
        <v>21</v>
      </c>
      <c r="H1593" s="148"/>
      <c r="I1593" s="148"/>
      <c r="J1593" s="170">
        <f t="shared" si="92"/>
        <v>21</v>
      </c>
      <c r="L1593" s="10"/>
      <c r="M1593" s="10"/>
      <c r="N1593" s="10"/>
      <c r="O1593" s="10"/>
      <c r="P1593" s="10"/>
      <c r="Q1593" s="10"/>
      <c r="R1593" s="10"/>
      <c r="S1593" s="10"/>
      <c r="T1593" s="10"/>
      <c r="U1593" s="10"/>
      <c r="V1593" s="10"/>
      <c r="W1593" s="10"/>
      <c r="X1593" s="10"/>
      <c r="Y1593" s="10"/>
    </row>
    <row r="1594" spans="1:25" ht="16.5" customHeight="1" x14ac:dyDescent="0.2">
      <c r="A1594" s="403" t="s">
        <v>679</v>
      </c>
      <c r="B1594" s="404"/>
      <c r="C1594" s="405"/>
      <c r="D1594" s="148"/>
      <c r="E1594" s="148"/>
      <c r="F1594" s="148"/>
      <c r="G1594" s="148">
        <v>21</v>
      </c>
      <c r="H1594" s="148"/>
      <c r="I1594" s="148"/>
      <c r="J1594" s="170">
        <f t="shared" si="92"/>
        <v>21</v>
      </c>
      <c r="L1594" s="10"/>
      <c r="M1594" s="10"/>
      <c r="N1594" s="10"/>
      <c r="O1594" s="10"/>
      <c r="P1594" s="10"/>
      <c r="Q1594" s="10"/>
      <c r="R1594" s="10"/>
      <c r="S1594" s="10"/>
      <c r="T1594" s="10"/>
      <c r="U1594" s="10"/>
      <c r="V1594" s="10"/>
      <c r="W1594" s="10"/>
      <c r="X1594" s="10"/>
      <c r="Y1594" s="10"/>
    </row>
    <row r="1595" spans="1:25" ht="16.5" customHeight="1" x14ac:dyDescent="0.2">
      <c r="A1595" s="403" t="s">
        <v>769</v>
      </c>
      <c r="B1595" s="404"/>
      <c r="C1595" s="405"/>
      <c r="D1595" s="148"/>
      <c r="E1595" s="148"/>
      <c r="F1595" s="148"/>
      <c r="G1595" s="148">
        <v>21</v>
      </c>
      <c r="H1595" s="148"/>
      <c r="I1595" s="148"/>
      <c r="J1595" s="170">
        <f t="shared" si="92"/>
        <v>21</v>
      </c>
      <c r="L1595" s="10"/>
      <c r="M1595" s="10"/>
      <c r="N1595" s="10"/>
      <c r="O1595" s="10"/>
      <c r="P1595" s="10"/>
      <c r="Q1595" s="10"/>
      <c r="R1595" s="10"/>
      <c r="S1595" s="10"/>
      <c r="T1595" s="10"/>
      <c r="U1595" s="10"/>
      <c r="V1595" s="10"/>
      <c r="W1595" s="10"/>
      <c r="X1595" s="10"/>
      <c r="Y1595" s="10"/>
    </row>
    <row r="1596" spans="1:25" ht="16.5" customHeight="1" x14ac:dyDescent="0.2">
      <c r="A1596" s="403" t="s">
        <v>681</v>
      </c>
      <c r="B1596" s="404"/>
      <c r="C1596" s="405"/>
      <c r="D1596" s="148"/>
      <c r="E1596" s="148"/>
      <c r="F1596" s="148"/>
      <c r="G1596" s="148">
        <v>21</v>
      </c>
      <c r="H1596" s="148"/>
      <c r="I1596" s="148"/>
      <c r="J1596" s="170">
        <f t="shared" si="92"/>
        <v>21</v>
      </c>
      <c r="L1596" s="10"/>
      <c r="M1596" s="10"/>
      <c r="N1596" s="10"/>
      <c r="O1596" s="10"/>
      <c r="P1596" s="10"/>
      <c r="Q1596" s="10"/>
      <c r="R1596" s="10"/>
      <c r="S1596" s="10"/>
      <c r="T1596" s="10"/>
      <c r="U1596" s="10"/>
      <c r="V1596" s="10"/>
      <c r="W1596" s="10"/>
      <c r="X1596" s="10"/>
      <c r="Y1596" s="10"/>
    </row>
    <row r="1597" spans="1:25" ht="16.5" customHeight="1" x14ac:dyDescent="0.2">
      <c r="A1597" s="403" t="s">
        <v>682</v>
      </c>
      <c r="B1597" s="404"/>
      <c r="C1597" s="405"/>
      <c r="D1597" s="148"/>
      <c r="E1597" s="148"/>
      <c r="F1597" s="148"/>
      <c r="G1597" s="148">
        <v>21</v>
      </c>
      <c r="H1597" s="148"/>
      <c r="I1597" s="148"/>
      <c r="J1597" s="170">
        <f t="shared" si="92"/>
        <v>21</v>
      </c>
      <c r="L1597" s="10"/>
      <c r="M1597" s="10"/>
      <c r="N1597" s="10"/>
      <c r="O1597" s="10"/>
      <c r="P1597" s="10"/>
      <c r="Q1597" s="10"/>
      <c r="R1597" s="10"/>
      <c r="S1597" s="10"/>
      <c r="T1597" s="10"/>
      <c r="U1597" s="10"/>
      <c r="V1597" s="10"/>
      <c r="W1597" s="10"/>
      <c r="X1597" s="10"/>
      <c r="Y1597" s="10"/>
    </row>
    <row r="1598" spans="1:25" ht="16.5" customHeight="1" x14ac:dyDescent="0.2">
      <c r="A1598" s="403" t="s">
        <v>683</v>
      </c>
      <c r="B1598" s="404"/>
      <c r="C1598" s="405"/>
      <c r="D1598" s="148"/>
      <c r="E1598" s="148"/>
      <c r="F1598" s="148"/>
      <c r="G1598" s="148">
        <v>21</v>
      </c>
      <c r="H1598" s="148"/>
      <c r="I1598" s="148"/>
      <c r="J1598" s="170">
        <f t="shared" si="92"/>
        <v>21</v>
      </c>
      <c r="L1598" s="10"/>
      <c r="M1598" s="10"/>
      <c r="N1598" s="10"/>
      <c r="O1598" s="10"/>
      <c r="P1598" s="10"/>
      <c r="Q1598" s="10"/>
      <c r="R1598" s="10"/>
      <c r="S1598" s="10"/>
      <c r="T1598" s="10"/>
      <c r="U1598" s="10"/>
      <c r="V1598" s="10"/>
      <c r="W1598" s="10"/>
      <c r="X1598" s="10"/>
      <c r="Y1598" s="10"/>
    </row>
    <row r="1599" spans="1:25" ht="16.5" customHeight="1" x14ac:dyDescent="0.2">
      <c r="A1599" s="403" t="s">
        <v>817</v>
      </c>
      <c r="B1599" s="404"/>
      <c r="C1599" s="405"/>
      <c r="D1599" s="148"/>
      <c r="E1599" s="148"/>
      <c r="F1599" s="148"/>
      <c r="G1599" s="148">
        <v>21</v>
      </c>
      <c r="H1599" s="148"/>
      <c r="I1599" s="148"/>
      <c r="J1599" s="170">
        <f t="shared" si="92"/>
        <v>21</v>
      </c>
      <c r="L1599" s="10"/>
      <c r="M1599" s="10"/>
      <c r="N1599" s="10"/>
      <c r="O1599" s="10"/>
      <c r="P1599" s="10"/>
      <c r="Q1599" s="10"/>
      <c r="R1599" s="10"/>
      <c r="S1599" s="10"/>
      <c r="T1599" s="10"/>
      <c r="U1599" s="10"/>
      <c r="V1599" s="10"/>
      <c r="W1599" s="10"/>
      <c r="X1599" s="10"/>
      <c r="Y1599" s="10"/>
    </row>
    <row r="1600" spans="1:25" ht="16.5" customHeight="1" x14ac:dyDescent="0.2">
      <c r="A1600" s="403" t="s">
        <v>792</v>
      </c>
      <c r="B1600" s="404"/>
      <c r="C1600" s="405"/>
      <c r="D1600" s="148"/>
      <c r="E1600" s="148"/>
      <c r="F1600" s="148"/>
      <c r="G1600" s="148">
        <v>21</v>
      </c>
      <c r="H1600" s="148"/>
      <c r="I1600" s="148"/>
      <c r="J1600" s="170">
        <f t="shared" si="92"/>
        <v>21</v>
      </c>
      <c r="L1600" s="10"/>
      <c r="M1600" s="10"/>
      <c r="N1600" s="10"/>
      <c r="O1600" s="10"/>
      <c r="P1600" s="10"/>
      <c r="Q1600" s="10"/>
      <c r="R1600" s="10"/>
      <c r="S1600" s="10"/>
      <c r="T1600" s="10"/>
      <c r="U1600" s="10"/>
      <c r="V1600" s="10"/>
      <c r="W1600" s="10"/>
      <c r="X1600" s="10"/>
      <c r="Y1600" s="10"/>
    </row>
    <row r="1601" spans="1:25" ht="16.5" customHeight="1" x14ac:dyDescent="0.2">
      <c r="A1601" s="403" t="s">
        <v>687</v>
      </c>
      <c r="B1601" s="404"/>
      <c r="C1601" s="405"/>
      <c r="D1601" s="148"/>
      <c r="E1601" s="148"/>
      <c r="F1601" s="148"/>
      <c r="G1601" s="148">
        <v>21</v>
      </c>
      <c r="H1601" s="148"/>
      <c r="I1601" s="148"/>
      <c r="J1601" s="170">
        <f t="shared" si="92"/>
        <v>21</v>
      </c>
      <c r="L1601" s="10"/>
      <c r="M1601" s="10"/>
      <c r="N1601" s="10"/>
      <c r="O1601" s="10"/>
      <c r="P1601" s="10"/>
      <c r="Q1601" s="10"/>
      <c r="R1601" s="10"/>
      <c r="S1601" s="10"/>
      <c r="T1601" s="10"/>
      <c r="U1601" s="10"/>
      <c r="V1601" s="10"/>
      <c r="W1601" s="10"/>
      <c r="X1601" s="10"/>
      <c r="Y1601" s="10"/>
    </row>
    <row r="1602" spans="1:25" ht="16.5" customHeight="1" x14ac:dyDescent="0.2">
      <c r="A1602" s="318" t="s">
        <v>334</v>
      </c>
      <c r="B1602" s="319"/>
      <c r="C1602" s="332"/>
      <c r="D1602" s="148"/>
      <c r="E1602" s="148"/>
      <c r="F1602" s="148"/>
      <c r="G1602" s="148">
        <v>28</v>
      </c>
      <c r="H1602" s="148"/>
      <c r="I1602" s="148"/>
      <c r="J1602" s="170">
        <f t="shared" si="92"/>
        <v>28</v>
      </c>
      <c r="L1602" s="10"/>
      <c r="M1602" s="10"/>
      <c r="N1602" s="10"/>
      <c r="O1602" s="10"/>
      <c r="P1602" s="10"/>
      <c r="Q1602" s="10"/>
      <c r="R1602" s="10"/>
      <c r="S1602" s="10"/>
      <c r="T1602" s="10"/>
      <c r="U1602" s="10"/>
      <c r="V1602" s="10"/>
      <c r="W1602" s="10"/>
      <c r="X1602" s="10"/>
      <c r="Y1602" s="10"/>
    </row>
    <row r="1603" spans="1:25" ht="16.5" customHeight="1" x14ac:dyDescent="0.2">
      <c r="A1603" s="342" t="str">
        <f>"TOTAL - "&amp;'Planilha orçamentária'!F106</f>
        <v>TOTAL - UN</v>
      </c>
      <c r="B1603" s="342"/>
      <c r="C1603" s="342"/>
      <c r="D1603" s="342"/>
      <c r="E1603" s="342"/>
      <c r="F1603" s="342"/>
      <c r="G1603" s="342"/>
      <c r="H1603" s="342"/>
      <c r="I1603" s="342"/>
      <c r="J1603" s="149">
        <f>SUM(J1586:J1602)</f>
        <v>364</v>
      </c>
      <c r="K1603" s="10"/>
      <c r="L1603" s="10"/>
      <c r="M1603" s="10"/>
      <c r="N1603" s="10"/>
      <c r="O1603" s="10"/>
      <c r="P1603" s="10"/>
      <c r="Q1603" s="10"/>
      <c r="R1603" s="10"/>
      <c r="S1603" s="10"/>
      <c r="T1603" s="10"/>
      <c r="U1603" s="10"/>
      <c r="V1603" s="10"/>
      <c r="W1603" s="10"/>
      <c r="X1603" s="10"/>
      <c r="Y1603" s="10"/>
    </row>
    <row r="1604" spans="1:25" ht="25.5" customHeight="1" x14ac:dyDescent="0.2">
      <c r="A1604" s="184" t="str">
        <f>'Planilha orçamentária'!A107</f>
        <v>13.9</v>
      </c>
      <c r="B1604" s="343" t="str">
        <f>'Planilha orçamentária'!D107</f>
        <v>Ponto de embutir para esgoto em tubo pvc rígido, PBV - série normal, DN 50mm (2"), embutido em piso com distância de até cinco (5) metros do ramal de esgoto, exclusive escavação, inclusive conexões e fixação do tubo com enchimento do rasgo no concreto com argamassa</v>
      </c>
      <c r="C1604" s="344"/>
      <c r="D1604" s="344"/>
      <c r="E1604" s="344"/>
      <c r="F1604" s="344"/>
      <c r="G1604" s="344"/>
      <c r="H1604" s="344"/>
      <c r="I1604" s="344"/>
      <c r="J1604" s="344"/>
      <c r="K1604" s="10"/>
      <c r="L1604" s="10"/>
      <c r="M1604" s="10"/>
      <c r="N1604" s="10"/>
      <c r="O1604" s="10"/>
      <c r="P1604" s="10"/>
      <c r="Q1604" s="10"/>
      <c r="R1604" s="10"/>
      <c r="S1604" s="10"/>
      <c r="T1604" s="10"/>
      <c r="U1604" s="10"/>
      <c r="V1604" s="10"/>
      <c r="W1604" s="10"/>
      <c r="X1604" s="10"/>
      <c r="Y1604" s="10"/>
    </row>
    <row r="1605" spans="1:25" ht="16.5" customHeight="1" x14ac:dyDescent="0.2">
      <c r="A1605" s="327" t="s">
        <v>120</v>
      </c>
      <c r="B1605" s="328"/>
      <c r="C1605" s="328"/>
      <c r="D1605" s="182" t="s">
        <v>121</v>
      </c>
      <c r="E1605" s="182" t="s">
        <v>122</v>
      </c>
      <c r="F1605" s="181" t="s">
        <v>123</v>
      </c>
      <c r="G1605" s="181" t="s">
        <v>124</v>
      </c>
      <c r="H1605" s="181" t="s">
        <v>125</v>
      </c>
      <c r="I1605" s="182" t="s">
        <v>126</v>
      </c>
      <c r="J1605" s="182" t="s">
        <v>113</v>
      </c>
      <c r="K1605" s="10"/>
      <c r="L1605" s="10"/>
      <c r="M1605" s="10"/>
      <c r="N1605" s="10"/>
      <c r="O1605" s="10"/>
      <c r="P1605" s="10"/>
      <c r="Q1605" s="10"/>
      <c r="R1605" s="10"/>
      <c r="S1605" s="10"/>
      <c r="T1605" s="10"/>
      <c r="U1605" s="10"/>
      <c r="V1605" s="10"/>
      <c r="W1605" s="10"/>
      <c r="X1605" s="10"/>
      <c r="Y1605" s="10"/>
    </row>
    <row r="1606" spans="1:25" ht="16.5" customHeight="1" x14ac:dyDescent="0.2">
      <c r="A1606" s="403" t="s">
        <v>671</v>
      </c>
      <c r="B1606" s="404"/>
      <c r="C1606" s="405"/>
      <c r="D1606" s="148"/>
      <c r="E1606" s="148"/>
      <c r="F1606" s="148"/>
      <c r="G1606" s="148">
        <v>63</v>
      </c>
      <c r="H1606" s="148"/>
      <c r="I1606" s="148"/>
      <c r="J1606" s="170">
        <f t="shared" ref="J1606:J1621" si="93">PRODUCT(D1606:H1606)-I1606</f>
        <v>63</v>
      </c>
      <c r="L1606" s="10"/>
      <c r="M1606" s="10"/>
      <c r="N1606" s="10"/>
      <c r="O1606" s="10"/>
      <c r="P1606" s="10"/>
      <c r="Q1606" s="10"/>
      <c r="R1606" s="10"/>
      <c r="S1606" s="10"/>
      <c r="T1606" s="10"/>
      <c r="U1606" s="10"/>
      <c r="V1606" s="10"/>
      <c r="W1606" s="10"/>
      <c r="X1606" s="10"/>
      <c r="Y1606" s="10"/>
    </row>
    <row r="1607" spans="1:25" ht="16.5" customHeight="1" x14ac:dyDescent="0.2">
      <c r="A1607" s="403" t="s">
        <v>672</v>
      </c>
      <c r="B1607" s="404"/>
      <c r="C1607" s="405"/>
      <c r="D1607" s="148"/>
      <c r="E1607" s="148"/>
      <c r="F1607" s="148"/>
      <c r="G1607" s="148">
        <v>63</v>
      </c>
      <c r="H1607" s="148"/>
      <c r="I1607" s="148"/>
      <c r="J1607" s="170">
        <f t="shared" si="93"/>
        <v>63</v>
      </c>
      <c r="L1607" s="10"/>
      <c r="M1607" s="10"/>
      <c r="N1607" s="10"/>
      <c r="O1607" s="10"/>
      <c r="P1607" s="10"/>
      <c r="Q1607" s="10"/>
      <c r="R1607" s="10"/>
      <c r="S1607" s="10"/>
      <c r="T1607" s="10"/>
      <c r="U1607" s="10"/>
      <c r="V1607" s="10"/>
      <c r="W1607" s="10"/>
      <c r="X1607" s="10"/>
      <c r="Y1607" s="10"/>
    </row>
    <row r="1608" spans="1:25" ht="16.5" customHeight="1" x14ac:dyDescent="0.2">
      <c r="A1608" s="403" t="s">
        <v>673</v>
      </c>
      <c r="B1608" s="404"/>
      <c r="C1608" s="405"/>
      <c r="D1608" s="148"/>
      <c r="E1608" s="148"/>
      <c r="F1608" s="148"/>
      <c r="G1608" s="148">
        <v>63</v>
      </c>
      <c r="H1608" s="148"/>
      <c r="I1608" s="148"/>
      <c r="J1608" s="170">
        <f t="shared" si="93"/>
        <v>63</v>
      </c>
      <c r="L1608" s="10"/>
      <c r="M1608" s="10"/>
      <c r="N1608" s="10"/>
      <c r="O1608" s="10"/>
      <c r="P1608" s="10"/>
      <c r="Q1608" s="10"/>
      <c r="R1608" s="10"/>
      <c r="S1608" s="10"/>
      <c r="T1608" s="10"/>
      <c r="U1608" s="10"/>
      <c r="V1608" s="10"/>
      <c r="W1608" s="10"/>
      <c r="X1608" s="10"/>
      <c r="Y1608" s="10"/>
    </row>
    <row r="1609" spans="1:25" ht="16.5" customHeight="1" x14ac:dyDescent="0.2">
      <c r="A1609" s="403" t="s">
        <v>674</v>
      </c>
      <c r="B1609" s="404"/>
      <c r="C1609" s="405"/>
      <c r="D1609" s="148"/>
      <c r="E1609" s="148"/>
      <c r="F1609" s="148"/>
      <c r="G1609" s="148">
        <v>63</v>
      </c>
      <c r="H1609" s="148"/>
      <c r="I1609" s="148"/>
      <c r="J1609" s="170">
        <f t="shared" si="93"/>
        <v>63</v>
      </c>
      <c r="L1609" s="10"/>
      <c r="M1609" s="10"/>
      <c r="N1609" s="10"/>
      <c r="O1609" s="10"/>
      <c r="P1609" s="10"/>
      <c r="Q1609" s="10"/>
      <c r="R1609" s="10"/>
      <c r="S1609" s="10"/>
      <c r="T1609" s="10"/>
      <c r="U1609" s="10"/>
      <c r="V1609" s="10"/>
      <c r="W1609" s="10"/>
      <c r="X1609" s="10"/>
      <c r="Y1609" s="10"/>
    </row>
    <row r="1610" spans="1:25" ht="16.5" customHeight="1" x14ac:dyDescent="0.2">
      <c r="A1610" s="403" t="s">
        <v>816</v>
      </c>
      <c r="B1610" s="404"/>
      <c r="C1610" s="405"/>
      <c r="D1610" s="148"/>
      <c r="E1610" s="148"/>
      <c r="F1610" s="148"/>
      <c r="G1610" s="148">
        <v>63</v>
      </c>
      <c r="H1610" s="148"/>
      <c r="I1610" s="148"/>
      <c r="J1610" s="170">
        <f t="shared" si="93"/>
        <v>63</v>
      </c>
      <c r="L1610" s="10"/>
      <c r="M1610" s="10"/>
      <c r="N1610" s="10"/>
      <c r="O1610" s="10"/>
      <c r="P1610" s="10"/>
      <c r="Q1610" s="10"/>
      <c r="R1610" s="10"/>
      <c r="S1610" s="10"/>
      <c r="T1610" s="10"/>
      <c r="U1610" s="10"/>
      <c r="V1610" s="10"/>
      <c r="W1610" s="10"/>
      <c r="X1610" s="10"/>
      <c r="Y1610" s="10"/>
    </row>
    <row r="1611" spans="1:25" ht="16.5" customHeight="1" x14ac:dyDescent="0.2">
      <c r="A1611" s="403" t="s">
        <v>676</v>
      </c>
      <c r="B1611" s="404"/>
      <c r="C1611" s="405"/>
      <c r="D1611" s="148"/>
      <c r="E1611" s="148"/>
      <c r="F1611" s="148"/>
      <c r="G1611" s="148">
        <v>63</v>
      </c>
      <c r="H1611" s="148"/>
      <c r="I1611" s="148"/>
      <c r="J1611" s="170">
        <f t="shared" si="93"/>
        <v>63</v>
      </c>
      <c r="L1611" s="10"/>
      <c r="M1611" s="10"/>
      <c r="N1611" s="10"/>
      <c r="O1611" s="10"/>
      <c r="P1611" s="10"/>
      <c r="Q1611" s="10"/>
      <c r="R1611" s="10"/>
      <c r="S1611" s="10"/>
      <c r="T1611" s="10"/>
      <c r="U1611" s="10"/>
      <c r="V1611" s="10"/>
      <c r="W1611" s="10"/>
      <c r="X1611" s="10"/>
      <c r="Y1611" s="10"/>
    </row>
    <row r="1612" spans="1:25" ht="16.5" customHeight="1" x14ac:dyDescent="0.2">
      <c r="A1612" s="403" t="s">
        <v>677</v>
      </c>
      <c r="B1612" s="404"/>
      <c r="C1612" s="405"/>
      <c r="D1612" s="148"/>
      <c r="E1612" s="148"/>
      <c r="F1612" s="148"/>
      <c r="G1612" s="148">
        <v>63</v>
      </c>
      <c r="H1612" s="148"/>
      <c r="I1612" s="148"/>
      <c r="J1612" s="170">
        <f t="shared" si="93"/>
        <v>63</v>
      </c>
      <c r="L1612" s="10"/>
      <c r="M1612" s="10"/>
      <c r="N1612" s="10"/>
      <c r="O1612" s="10"/>
      <c r="P1612" s="10"/>
      <c r="Q1612" s="10"/>
      <c r="R1612" s="10"/>
      <c r="S1612" s="10"/>
      <c r="T1612" s="10"/>
      <c r="U1612" s="10"/>
      <c r="V1612" s="10"/>
      <c r="W1612" s="10"/>
      <c r="X1612" s="10"/>
      <c r="Y1612" s="10"/>
    </row>
    <row r="1613" spans="1:25" ht="16.5" customHeight="1" x14ac:dyDescent="0.2">
      <c r="A1613" s="403" t="s">
        <v>678</v>
      </c>
      <c r="B1613" s="404"/>
      <c r="C1613" s="405"/>
      <c r="D1613" s="148"/>
      <c r="E1613" s="148"/>
      <c r="F1613" s="148"/>
      <c r="G1613" s="148">
        <v>63</v>
      </c>
      <c r="H1613" s="148"/>
      <c r="I1613" s="148"/>
      <c r="J1613" s="170">
        <f t="shared" si="93"/>
        <v>63</v>
      </c>
      <c r="L1613" s="10"/>
      <c r="M1613" s="10"/>
      <c r="N1613" s="10"/>
      <c r="O1613" s="10"/>
      <c r="P1613" s="10"/>
      <c r="Q1613" s="10"/>
      <c r="R1613" s="10"/>
      <c r="S1613" s="10"/>
      <c r="T1613" s="10"/>
      <c r="U1613" s="10"/>
      <c r="V1613" s="10"/>
      <c r="W1613" s="10"/>
      <c r="X1613" s="10"/>
      <c r="Y1613" s="10"/>
    </row>
    <row r="1614" spans="1:25" ht="16.5" customHeight="1" x14ac:dyDescent="0.2">
      <c r="A1614" s="403" t="s">
        <v>679</v>
      </c>
      <c r="B1614" s="404"/>
      <c r="C1614" s="405"/>
      <c r="D1614" s="148"/>
      <c r="E1614" s="148"/>
      <c r="F1614" s="148"/>
      <c r="G1614" s="148">
        <v>63</v>
      </c>
      <c r="H1614" s="148"/>
      <c r="I1614" s="148"/>
      <c r="J1614" s="170">
        <f t="shared" si="93"/>
        <v>63</v>
      </c>
      <c r="L1614" s="10"/>
      <c r="M1614" s="10"/>
      <c r="N1614" s="10"/>
      <c r="O1614" s="10"/>
      <c r="P1614" s="10"/>
      <c r="Q1614" s="10"/>
      <c r="R1614" s="10"/>
      <c r="S1614" s="10"/>
      <c r="T1614" s="10"/>
      <c r="U1614" s="10"/>
      <c r="V1614" s="10"/>
      <c r="W1614" s="10"/>
      <c r="X1614" s="10"/>
      <c r="Y1614" s="10"/>
    </row>
    <row r="1615" spans="1:25" ht="16.5" customHeight="1" x14ac:dyDescent="0.2">
      <c r="A1615" s="403" t="s">
        <v>769</v>
      </c>
      <c r="B1615" s="404"/>
      <c r="C1615" s="405"/>
      <c r="D1615" s="148"/>
      <c r="E1615" s="148"/>
      <c r="F1615" s="148"/>
      <c r="G1615" s="148">
        <v>63</v>
      </c>
      <c r="H1615" s="148"/>
      <c r="I1615" s="148"/>
      <c r="J1615" s="170">
        <f t="shared" si="93"/>
        <v>63</v>
      </c>
      <c r="L1615" s="10"/>
      <c r="M1615" s="10"/>
      <c r="N1615" s="10"/>
      <c r="O1615" s="10"/>
      <c r="P1615" s="10"/>
      <c r="Q1615" s="10"/>
      <c r="R1615" s="10"/>
      <c r="S1615" s="10"/>
      <c r="T1615" s="10"/>
      <c r="U1615" s="10"/>
      <c r="V1615" s="10"/>
      <c r="W1615" s="10"/>
      <c r="X1615" s="10"/>
      <c r="Y1615" s="10"/>
    </row>
    <row r="1616" spans="1:25" ht="16.5" customHeight="1" x14ac:dyDescent="0.2">
      <c r="A1616" s="403" t="s">
        <v>681</v>
      </c>
      <c r="B1616" s="404"/>
      <c r="C1616" s="405"/>
      <c r="D1616" s="148"/>
      <c r="E1616" s="148"/>
      <c r="F1616" s="148"/>
      <c r="G1616" s="148">
        <v>63</v>
      </c>
      <c r="H1616" s="148"/>
      <c r="I1616" s="148"/>
      <c r="J1616" s="170">
        <f t="shared" si="93"/>
        <v>63</v>
      </c>
      <c r="L1616" s="10"/>
      <c r="M1616" s="10"/>
      <c r="N1616" s="10"/>
      <c r="O1616" s="10"/>
      <c r="P1616" s="10"/>
      <c r="Q1616" s="10"/>
      <c r="R1616" s="10"/>
      <c r="S1616" s="10"/>
      <c r="T1616" s="10"/>
      <c r="U1616" s="10"/>
      <c r="V1616" s="10"/>
      <c r="W1616" s="10"/>
      <c r="X1616" s="10"/>
      <c r="Y1616" s="10"/>
    </row>
    <row r="1617" spans="1:25" ht="16.5" customHeight="1" x14ac:dyDescent="0.2">
      <c r="A1617" s="403" t="s">
        <v>682</v>
      </c>
      <c r="B1617" s="404"/>
      <c r="C1617" s="405"/>
      <c r="D1617" s="148"/>
      <c r="E1617" s="148"/>
      <c r="F1617" s="148"/>
      <c r="G1617" s="148">
        <v>63</v>
      </c>
      <c r="H1617" s="148"/>
      <c r="I1617" s="148"/>
      <c r="J1617" s="170">
        <f t="shared" si="93"/>
        <v>63</v>
      </c>
      <c r="L1617" s="10"/>
      <c r="M1617" s="10"/>
      <c r="N1617" s="10"/>
      <c r="O1617" s="10"/>
      <c r="P1617" s="10"/>
      <c r="Q1617" s="10"/>
      <c r="R1617" s="10"/>
      <c r="S1617" s="10"/>
      <c r="T1617" s="10"/>
      <c r="U1617" s="10"/>
      <c r="V1617" s="10"/>
      <c r="W1617" s="10"/>
      <c r="X1617" s="10"/>
      <c r="Y1617" s="10"/>
    </row>
    <row r="1618" spans="1:25" ht="16.5" customHeight="1" x14ac:dyDescent="0.2">
      <c r="A1618" s="403" t="s">
        <v>683</v>
      </c>
      <c r="B1618" s="404"/>
      <c r="C1618" s="405"/>
      <c r="D1618" s="148"/>
      <c r="E1618" s="148"/>
      <c r="F1618" s="148"/>
      <c r="G1618" s="148">
        <v>63</v>
      </c>
      <c r="H1618" s="148"/>
      <c r="I1618" s="148"/>
      <c r="J1618" s="170">
        <f t="shared" si="93"/>
        <v>63</v>
      </c>
      <c r="L1618" s="10"/>
      <c r="M1618" s="10"/>
      <c r="N1618" s="10"/>
      <c r="O1618" s="10"/>
      <c r="P1618" s="10"/>
      <c r="Q1618" s="10"/>
      <c r="R1618" s="10"/>
      <c r="S1618" s="10"/>
      <c r="T1618" s="10"/>
      <c r="U1618" s="10"/>
      <c r="V1618" s="10"/>
      <c r="W1618" s="10"/>
      <c r="X1618" s="10"/>
      <c r="Y1618" s="10"/>
    </row>
    <row r="1619" spans="1:25" ht="16.5" customHeight="1" x14ac:dyDescent="0.2">
      <c r="A1619" s="403" t="s">
        <v>817</v>
      </c>
      <c r="B1619" s="404"/>
      <c r="C1619" s="405"/>
      <c r="D1619" s="148"/>
      <c r="E1619" s="148"/>
      <c r="F1619" s="148"/>
      <c r="G1619" s="148">
        <v>63</v>
      </c>
      <c r="H1619" s="148"/>
      <c r="I1619" s="148"/>
      <c r="J1619" s="170">
        <f t="shared" si="93"/>
        <v>63</v>
      </c>
      <c r="L1619" s="10"/>
      <c r="M1619" s="10"/>
      <c r="N1619" s="10"/>
      <c r="O1619" s="10"/>
      <c r="P1619" s="10"/>
      <c r="Q1619" s="10"/>
      <c r="R1619" s="10"/>
      <c r="S1619" s="10"/>
      <c r="T1619" s="10"/>
      <c r="U1619" s="10"/>
      <c r="V1619" s="10"/>
      <c r="W1619" s="10"/>
      <c r="X1619" s="10"/>
      <c r="Y1619" s="10"/>
    </row>
    <row r="1620" spans="1:25" ht="16.5" customHeight="1" x14ac:dyDescent="0.2">
      <c r="A1620" s="403" t="s">
        <v>792</v>
      </c>
      <c r="B1620" s="404"/>
      <c r="C1620" s="405"/>
      <c r="D1620" s="148"/>
      <c r="E1620" s="148"/>
      <c r="F1620" s="148"/>
      <c r="G1620" s="148">
        <v>63</v>
      </c>
      <c r="H1620" s="148"/>
      <c r="I1620" s="148"/>
      <c r="J1620" s="170">
        <f t="shared" si="93"/>
        <v>63</v>
      </c>
      <c r="L1620" s="10"/>
      <c r="M1620" s="10"/>
      <c r="N1620" s="10"/>
      <c r="O1620" s="10"/>
      <c r="P1620" s="10"/>
      <c r="Q1620" s="10"/>
      <c r="R1620" s="10"/>
      <c r="S1620" s="10"/>
      <c r="T1620" s="10"/>
      <c r="U1620" s="10"/>
      <c r="V1620" s="10"/>
      <c r="W1620" s="10"/>
      <c r="X1620" s="10"/>
      <c r="Y1620" s="10"/>
    </row>
    <row r="1621" spans="1:25" ht="16.5" customHeight="1" x14ac:dyDescent="0.2">
      <c r="A1621" s="403" t="s">
        <v>687</v>
      </c>
      <c r="B1621" s="404"/>
      <c r="C1621" s="405"/>
      <c r="D1621" s="148"/>
      <c r="E1621" s="148"/>
      <c r="F1621" s="148"/>
      <c r="G1621" s="148">
        <v>63</v>
      </c>
      <c r="H1621" s="148"/>
      <c r="I1621" s="148"/>
      <c r="J1621" s="170">
        <f t="shared" si="93"/>
        <v>63</v>
      </c>
      <c r="L1621" s="10"/>
      <c r="M1621" s="10"/>
      <c r="N1621" s="10"/>
      <c r="O1621" s="10"/>
      <c r="P1621" s="10"/>
      <c r="Q1621" s="10"/>
      <c r="R1621" s="10"/>
      <c r="S1621" s="10"/>
      <c r="T1621" s="10"/>
      <c r="U1621" s="10"/>
      <c r="V1621" s="10"/>
      <c r="W1621" s="10"/>
      <c r="X1621" s="10"/>
      <c r="Y1621" s="10"/>
    </row>
    <row r="1622" spans="1:25" ht="16.5" customHeight="1" x14ac:dyDescent="0.2">
      <c r="A1622" s="342" t="str">
        <f>"TOTAL - "&amp;'Planilha orçamentária'!F106</f>
        <v>TOTAL - UN</v>
      </c>
      <c r="B1622" s="342"/>
      <c r="C1622" s="342"/>
      <c r="D1622" s="342"/>
      <c r="E1622" s="342"/>
      <c r="F1622" s="342"/>
      <c r="G1622" s="342"/>
      <c r="H1622" s="342"/>
      <c r="I1622" s="342"/>
      <c r="J1622" s="149">
        <f>SUM(J1606:J1621)</f>
        <v>1008</v>
      </c>
      <c r="K1622" s="10"/>
      <c r="L1622" s="10"/>
      <c r="M1622" s="10"/>
      <c r="N1622" s="10"/>
      <c r="O1622" s="10"/>
      <c r="P1622" s="10"/>
      <c r="Q1622" s="10"/>
      <c r="R1622" s="10"/>
      <c r="S1622" s="10"/>
      <c r="T1622" s="10"/>
      <c r="U1622" s="10"/>
      <c r="V1622" s="10"/>
      <c r="W1622" s="10"/>
      <c r="X1622" s="10"/>
      <c r="Y1622" s="10"/>
    </row>
    <row r="1623" spans="1:25" ht="16.5" customHeight="1" x14ac:dyDescent="0.2">
      <c r="A1623" s="184" t="str">
        <f>'Planilha orçamentária'!A108</f>
        <v>13.10</v>
      </c>
      <c r="B1623" s="343" t="str">
        <f>'Planilha orçamentária'!D108</f>
        <v>Caixa sifonada em pvc com grelha quadrada150 x 150 x 50 mm</v>
      </c>
      <c r="C1623" s="344"/>
      <c r="D1623" s="344"/>
      <c r="E1623" s="344"/>
      <c r="F1623" s="344"/>
      <c r="G1623" s="344"/>
      <c r="H1623" s="344"/>
      <c r="I1623" s="344"/>
      <c r="J1623" s="344"/>
      <c r="K1623" s="10"/>
      <c r="L1623" s="10"/>
      <c r="M1623" s="10"/>
      <c r="N1623" s="10"/>
      <c r="O1623" s="10"/>
      <c r="P1623" s="10"/>
      <c r="Q1623" s="10"/>
      <c r="R1623" s="10"/>
      <c r="S1623" s="10"/>
      <c r="T1623" s="10"/>
      <c r="U1623" s="10"/>
      <c r="V1623" s="10"/>
      <c r="W1623" s="10"/>
      <c r="X1623" s="10"/>
      <c r="Y1623" s="10"/>
    </row>
    <row r="1624" spans="1:25" ht="16.5" customHeight="1" x14ac:dyDescent="0.2">
      <c r="A1624" s="327" t="s">
        <v>120</v>
      </c>
      <c r="B1624" s="328"/>
      <c r="C1624" s="328"/>
      <c r="D1624" s="182" t="s">
        <v>121</v>
      </c>
      <c r="E1624" s="182" t="s">
        <v>122</v>
      </c>
      <c r="F1624" s="181" t="s">
        <v>123</v>
      </c>
      <c r="G1624" s="181" t="s">
        <v>124</v>
      </c>
      <c r="H1624" s="181" t="s">
        <v>125</v>
      </c>
      <c r="I1624" s="182" t="s">
        <v>126</v>
      </c>
      <c r="J1624" s="182" t="s">
        <v>113</v>
      </c>
      <c r="K1624" s="10"/>
      <c r="L1624" s="10"/>
      <c r="M1624" s="10"/>
      <c r="N1624" s="10"/>
      <c r="O1624" s="10"/>
      <c r="P1624" s="10"/>
      <c r="Q1624" s="10"/>
      <c r="R1624" s="10"/>
      <c r="S1624" s="10"/>
      <c r="T1624" s="10"/>
      <c r="U1624" s="10"/>
      <c r="V1624" s="10"/>
      <c r="W1624" s="10"/>
      <c r="X1624" s="10"/>
      <c r="Y1624" s="10"/>
    </row>
    <row r="1625" spans="1:25" ht="16.5" customHeight="1" x14ac:dyDescent="0.2">
      <c r="A1625" s="403" t="s">
        <v>671</v>
      </c>
      <c r="B1625" s="404"/>
      <c r="C1625" s="405"/>
      <c r="D1625" s="148"/>
      <c r="E1625" s="148"/>
      <c r="F1625" s="148"/>
      <c r="G1625" s="148">
        <v>21</v>
      </c>
      <c r="H1625" s="148"/>
      <c r="I1625" s="148"/>
      <c r="J1625" s="170">
        <f t="shared" ref="J1625:J1640" si="94">PRODUCT(D1625:H1625)-I1625</f>
        <v>21</v>
      </c>
      <c r="L1625" s="10"/>
      <c r="M1625" s="10"/>
      <c r="N1625" s="10"/>
      <c r="O1625" s="10"/>
      <c r="P1625" s="10"/>
      <c r="Q1625" s="10"/>
      <c r="R1625" s="10"/>
      <c r="S1625" s="10"/>
      <c r="T1625" s="10"/>
      <c r="U1625" s="10"/>
      <c r="V1625" s="10"/>
      <c r="W1625" s="10"/>
      <c r="X1625" s="10"/>
      <c r="Y1625" s="10"/>
    </row>
    <row r="1626" spans="1:25" ht="16.5" customHeight="1" x14ac:dyDescent="0.2">
      <c r="A1626" s="403" t="s">
        <v>672</v>
      </c>
      <c r="B1626" s="404"/>
      <c r="C1626" s="405"/>
      <c r="D1626" s="148"/>
      <c r="E1626" s="148"/>
      <c r="F1626" s="148"/>
      <c r="G1626" s="148">
        <v>21</v>
      </c>
      <c r="H1626" s="148"/>
      <c r="I1626" s="148"/>
      <c r="J1626" s="170">
        <f t="shared" si="94"/>
        <v>21</v>
      </c>
      <c r="L1626" s="10"/>
      <c r="M1626" s="10"/>
      <c r="N1626" s="10"/>
      <c r="O1626" s="10"/>
      <c r="P1626" s="10"/>
      <c r="Q1626" s="10"/>
      <c r="R1626" s="10"/>
      <c r="S1626" s="10"/>
      <c r="T1626" s="10"/>
      <c r="U1626" s="10"/>
      <c r="V1626" s="10"/>
      <c r="W1626" s="10"/>
      <c r="X1626" s="10"/>
      <c r="Y1626" s="10"/>
    </row>
    <row r="1627" spans="1:25" ht="16.5" customHeight="1" x14ac:dyDescent="0.2">
      <c r="A1627" s="403" t="s">
        <v>673</v>
      </c>
      <c r="B1627" s="404"/>
      <c r="C1627" s="405"/>
      <c r="D1627" s="148"/>
      <c r="E1627" s="148"/>
      <c r="F1627" s="148"/>
      <c r="G1627" s="148">
        <v>21</v>
      </c>
      <c r="H1627" s="148"/>
      <c r="I1627" s="148"/>
      <c r="J1627" s="170">
        <f t="shared" si="94"/>
        <v>21</v>
      </c>
      <c r="L1627" s="10"/>
      <c r="M1627" s="10"/>
      <c r="N1627" s="10"/>
      <c r="O1627" s="10"/>
      <c r="P1627" s="10"/>
      <c r="Q1627" s="10"/>
      <c r="R1627" s="10"/>
      <c r="S1627" s="10"/>
      <c r="T1627" s="10"/>
      <c r="U1627" s="10"/>
      <c r="V1627" s="10"/>
      <c r="W1627" s="10"/>
      <c r="X1627" s="10"/>
      <c r="Y1627" s="10"/>
    </row>
    <row r="1628" spans="1:25" ht="16.5" customHeight="1" x14ac:dyDescent="0.2">
      <c r="A1628" s="403" t="s">
        <v>674</v>
      </c>
      <c r="B1628" s="404"/>
      <c r="C1628" s="405"/>
      <c r="D1628" s="148"/>
      <c r="E1628" s="148"/>
      <c r="F1628" s="148"/>
      <c r="G1628" s="148">
        <v>21</v>
      </c>
      <c r="H1628" s="148"/>
      <c r="I1628" s="148"/>
      <c r="J1628" s="170">
        <f t="shared" si="94"/>
        <v>21</v>
      </c>
      <c r="L1628" s="10"/>
      <c r="M1628" s="10"/>
      <c r="N1628" s="10"/>
      <c r="O1628" s="10"/>
      <c r="P1628" s="10"/>
      <c r="Q1628" s="10"/>
      <c r="R1628" s="10"/>
      <c r="S1628" s="10"/>
      <c r="T1628" s="10"/>
      <c r="U1628" s="10"/>
      <c r="V1628" s="10"/>
      <c r="W1628" s="10"/>
      <c r="X1628" s="10"/>
      <c r="Y1628" s="10"/>
    </row>
    <row r="1629" spans="1:25" ht="16.5" customHeight="1" x14ac:dyDescent="0.2">
      <c r="A1629" s="403" t="s">
        <v>816</v>
      </c>
      <c r="B1629" s="404"/>
      <c r="C1629" s="405"/>
      <c r="D1629" s="148"/>
      <c r="E1629" s="148"/>
      <c r="F1629" s="148"/>
      <c r="G1629" s="148">
        <v>21</v>
      </c>
      <c r="H1629" s="148"/>
      <c r="I1629" s="148"/>
      <c r="J1629" s="170">
        <f t="shared" si="94"/>
        <v>21</v>
      </c>
      <c r="L1629" s="10"/>
      <c r="M1629" s="10"/>
      <c r="N1629" s="10"/>
      <c r="O1629" s="10"/>
      <c r="P1629" s="10"/>
      <c r="Q1629" s="10"/>
      <c r="R1629" s="10"/>
      <c r="S1629" s="10"/>
      <c r="T1629" s="10"/>
      <c r="U1629" s="10"/>
      <c r="V1629" s="10"/>
      <c r="W1629" s="10"/>
      <c r="X1629" s="10"/>
      <c r="Y1629" s="10"/>
    </row>
    <row r="1630" spans="1:25" ht="16.5" customHeight="1" x14ac:dyDescent="0.2">
      <c r="A1630" s="403" t="s">
        <v>676</v>
      </c>
      <c r="B1630" s="404"/>
      <c r="C1630" s="405"/>
      <c r="D1630" s="148"/>
      <c r="E1630" s="148"/>
      <c r="F1630" s="148"/>
      <c r="G1630" s="148">
        <v>21</v>
      </c>
      <c r="H1630" s="148"/>
      <c r="I1630" s="148"/>
      <c r="J1630" s="170">
        <f t="shared" si="94"/>
        <v>21</v>
      </c>
      <c r="L1630" s="10"/>
      <c r="M1630" s="10"/>
      <c r="N1630" s="10"/>
      <c r="O1630" s="10"/>
      <c r="P1630" s="10"/>
      <c r="Q1630" s="10"/>
      <c r="R1630" s="10"/>
      <c r="S1630" s="10"/>
      <c r="T1630" s="10"/>
      <c r="U1630" s="10"/>
      <c r="V1630" s="10"/>
      <c r="W1630" s="10"/>
      <c r="X1630" s="10"/>
      <c r="Y1630" s="10"/>
    </row>
    <row r="1631" spans="1:25" ht="16.5" customHeight="1" x14ac:dyDescent="0.2">
      <c r="A1631" s="403" t="s">
        <v>677</v>
      </c>
      <c r="B1631" s="404"/>
      <c r="C1631" s="405"/>
      <c r="D1631" s="148"/>
      <c r="E1631" s="148"/>
      <c r="F1631" s="148"/>
      <c r="G1631" s="148">
        <v>21</v>
      </c>
      <c r="H1631" s="148"/>
      <c r="I1631" s="148"/>
      <c r="J1631" s="170">
        <f t="shared" si="94"/>
        <v>21</v>
      </c>
      <c r="L1631" s="10"/>
      <c r="M1631" s="10"/>
      <c r="N1631" s="10"/>
      <c r="O1631" s="10"/>
      <c r="P1631" s="10"/>
      <c r="Q1631" s="10"/>
      <c r="R1631" s="10"/>
      <c r="S1631" s="10"/>
      <c r="T1631" s="10"/>
      <c r="U1631" s="10"/>
      <c r="V1631" s="10"/>
      <c r="W1631" s="10"/>
      <c r="X1631" s="10"/>
      <c r="Y1631" s="10"/>
    </row>
    <row r="1632" spans="1:25" ht="16.5" customHeight="1" x14ac:dyDescent="0.2">
      <c r="A1632" s="403" t="s">
        <v>678</v>
      </c>
      <c r="B1632" s="404"/>
      <c r="C1632" s="405"/>
      <c r="D1632" s="148"/>
      <c r="E1632" s="148"/>
      <c r="F1632" s="148"/>
      <c r="G1632" s="148">
        <v>21</v>
      </c>
      <c r="H1632" s="148"/>
      <c r="I1632" s="148"/>
      <c r="J1632" s="170">
        <f t="shared" si="94"/>
        <v>21</v>
      </c>
      <c r="L1632" s="10"/>
      <c r="M1632" s="10"/>
      <c r="N1632" s="10"/>
      <c r="O1632" s="10"/>
      <c r="P1632" s="10"/>
      <c r="Q1632" s="10"/>
      <c r="R1632" s="10"/>
      <c r="S1632" s="10"/>
      <c r="T1632" s="10"/>
      <c r="U1632" s="10"/>
      <c r="V1632" s="10"/>
      <c r="W1632" s="10"/>
      <c r="X1632" s="10"/>
      <c r="Y1632" s="10"/>
    </row>
    <row r="1633" spans="1:25" ht="16.5" customHeight="1" x14ac:dyDescent="0.2">
      <c r="A1633" s="403" t="s">
        <v>679</v>
      </c>
      <c r="B1633" s="404"/>
      <c r="C1633" s="405"/>
      <c r="D1633" s="148"/>
      <c r="E1633" s="148"/>
      <c r="F1633" s="148"/>
      <c r="G1633" s="148">
        <v>21</v>
      </c>
      <c r="H1633" s="148"/>
      <c r="I1633" s="148"/>
      <c r="J1633" s="170">
        <f t="shared" si="94"/>
        <v>21</v>
      </c>
      <c r="L1633" s="10"/>
      <c r="M1633" s="10"/>
      <c r="N1633" s="10"/>
      <c r="O1633" s="10"/>
      <c r="P1633" s="10"/>
      <c r="Q1633" s="10"/>
      <c r="R1633" s="10"/>
      <c r="S1633" s="10"/>
      <c r="T1633" s="10"/>
      <c r="U1633" s="10"/>
      <c r="V1633" s="10"/>
      <c r="W1633" s="10"/>
      <c r="X1633" s="10"/>
      <c r="Y1633" s="10"/>
    </row>
    <row r="1634" spans="1:25" ht="16.5" customHeight="1" x14ac:dyDescent="0.2">
      <c r="A1634" s="403" t="s">
        <v>769</v>
      </c>
      <c r="B1634" s="404"/>
      <c r="C1634" s="405"/>
      <c r="D1634" s="148"/>
      <c r="E1634" s="148"/>
      <c r="F1634" s="148"/>
      <c r="G1634" s="148">
        <v>21</v>
      </c>
      <c r="H1634" s="148"/>
      <c r="I1634" s="148"/>
      <c r="J1634" s="170">
        <f t="shared" si="94"/>
        <v>21</v>
      </c>
      <c r="L1634" s="10"/>
      <c r="M1634" s="10"/>
      <c r="N1634" s="10"/>
      <c r="O1634" s="10"/>
      <c r="P1634" s="10"/>
      <c r="Q1634" s="10"/>
      <c r="R1634" s="10"/>
      <c r="S1634" s="10"/>
      <c r="T1634" s="10"/>
      <c r="U1634" s="10"/>
      <c r="V1634" s="10"/>
      <c r="W1634" s="10"/>
      <c r="X1634" s="10"/>
      <c r="Y1634" s="10"/>
    </row>
    <row r="1635" spans="1:25" ht="16.5" customHeight="1" x14ac:dyDescent="0.2">
      <c r="A1635" s="403" t="s">
        <v>681</v>
      </c>
      <c r="B1635" s="404"/>
      <c r="C1635" s="405"/>
      <c r="D1635" s="148"/>
      <c r="E1635" s="148"/>
      <c r="F1635" s="148"/>
      <c r="G1635" s="148">
        <v>21</v>
      </c>
      <c r="H1635" s="148"/>
      <c r="I1635" s="148"/>
      <c r="J1635" s="170">
        <f t="shared" si="94"/>
        <v>21</v>
      </c>
      <c r="L1635" s="10"/>
      <c r="M1635" s="10"/>
      <c r="N1635" s="10"/>
      <c r="O1635" s="10"/>
      <c r="P1635" s="10"/>
      <c r="Q1635" s="10"/>
      <c r="R1635" s="10"/>
      <c r="S1635" s="10"/>
      <c r="T1635" s="10"/>
      <c r="U1635" s="10"/>
      <c r="V1635" s="10"/>
      <c r="W1635" s="10"/>
      <c r="X1635" s="10"/>
      <c r="Y1635" s="10"/>
    </row>
    <row r="1636" spans="1:25" ht="16.5" customHeight="1" x14ac:dyDescent="0.2">
      <c r="A1636" s="403" t="s">
        <v>682</v>
      </c>
      <c r="B1636" s="404"/>
      <c r="C1636" s="405"/>
      <c r="D1636" s="148"/>
      <c r="E1636" s="148"/>
      <c r="F1636" s="148"/>
      <c r="G1636" s="148">
        <v>21</v>
      </c>
      <c r="H1636" s="148"/>
      <c r="I1636" s="148"/>
      <c r="J1636" s="170">
        <f t="shared" si="94"/>
        <v>21</v>
      </c>
      <c r="L1636" s="10"/>
      <c r="M1636" s="10"/>
      <c r="N1636" s="10"/>
      <c r="O1636" s="10"/>
      <c r="P1636" s="10"/>
      <c r="Q1636" s="10"/>
      <c r="R1636" s="10"/>
      <c r="S1636" s="10"/>
      <c r="T1636" s="10"/>
      <c r="U1636" s="10"/>
      <c r="V1636" s="10"/>
      <c r="W1636" s="10"/>
      <c r="X1636" s="10"/>
      <c r="Y1636" s="10"/>
    </row>
    <row r="1637" spans="1:25" ht="16.5" customHeight="1" x14ac:dyDescent="0.2">
      <c r="A1637" s="403" t="s">
        <v>683</v>
      </c>
      <c r="B1637" s="404"/>
      <c r="C1637" s="405"/>
      <c r="D1637" s="148"/>
      <c r="E1637" s="148"/>
      <c r="F1637" s="148"/>
      <c r="G1637" s="148">
        <v>21</v>
      </c>
      <c r="H1637" s="148"/>
      <c r="I1637" s="148"/>
      <c r="J1637" s="170">
        <f t="shared" si="94"/>
        <v>21</v>
      </c>
      <c r="L1637" s="10"/>
      <c r="M1637" s="10"/>
      <c r="N1637" s="10"/>
      <c r="O1637" s="10"/>
      <c r="P1637" s="10"/>
      <c r="Q1637" s="10"/>
      <c r="R1637" s="10"/>
      <c r="S1637" s="10"/>
      <c r="T1637" s="10"/>
      <c r="U1637" s="10"/>
      <c r="V1637" s="10"/>
      <c r="W1637" s="10"/>
      <c r="X1637" s="10"/>
      <c r="Y1637" s="10"/>
    </row>
    <row r="1638" spans="1:25" ht="16.5" customHeight="1" x14ac:dyDescent="0.2">
      <c r="A1638" s="403" t="s">
        <v>817</v>
      </c>
      <c r="B1638" s="404"/>
      <c r="C1638" s="405"/>
      <c r="D1638" s="148"/>
      <c r="E1638" s="148"/>
      <c r="F1638" s="148"/>
      <c r="G1638" s="148">
        <v>21</v>
      </c>
      <c r="H1638" s="148"/>
      <c r="I1638" s="148"/>
      <c r="J1638" s="170">
        <f t="shared" si="94"/>
        <v>21</v>
      </c>
      <c r="L1638" s="10"/>
      <c r="M1638" s="10"/>
      <c r="N1638" s="10"/>
      <c r="O1638" s="10"/>
      <c r="P1638" s="10"/>
      <c r="Q1638" s="10"/>
      <c r="R1638" s="10"/>
      <c r="S1638" s="10"/>
      <c r="T1638" s="10"/>
      <c r="U1638" s="10"/>
      <c r="V1638" s="10"/>
      <c r="W1638" s="10"/>
      <c r="X1638" s="10"/>
      <c r="Y1638" s="10"/>
    </row>
    <row r="1639" spans="1:25" ht="16.5" customHeight="1" x14ac:dyDescent="0.2">
      <c r="A1639" s="403" t="s">
        <v>792</v>
      </c>
      <c r="B1639" s="404"/>
      <c r="C1639" s="405"/>
      <c r="D1639" s="148"/>
      <c r="E1639" s="148"/>
      <c r="F1639" s="148"/>
      <c r="G1639" s="148">
        <v>21</v>
      </c>
      <c r="H1639" s="148"/>
      <c r="I1639" s="148"/>
      <c r="J1639" s="170">
        <f t="shared" si="94"/>
        <v>21</v>
      </c>
      <c r="L1639" s="10"/>
      <c r="M1639" s="10"/>
      <c r="N1639" s="10"/>
      <c r="O1639" s="10"/>
      <c r="P1639" s="10"/>
      <c r="Q1639" s="10"/>
      <c r="R1639" s="10"/>
      <c r="S1639" s="10"/>
      <c r="T1639" s="10"/>
      <c r="U1639" s="10"/>
      <c r="V1639" s="10"/>
      <c r="W1639" s="10"/>
      <c r="X1639" s="10"/>
      <c r="Y1639" s="10"/>
    </row>
    <row r="1640" spans="1:25" ht="16.5" customHeight="1" x14ac:dyDescent="0.2">
      <c r="A1640" s="403" t="s">
        <v>687</v>
      </c>
      <c r="B1640" s="404"/>
      <c r="C1640" s="405"/>
      <c r="D1640" s="148"/>
      <c r="E1640" s="148"/>
      <c r="F1640" s="148"/>
      <c r="G1640" s="148">
        <v>21</v>
      </c>
      <c r="H1640" s="148"/>
      <c r="I1640" s="148"/>
      <c r="J1640" s="170">
        <f t="shared" si="94"/>
        <v>21</v>
      </c>
      <c r="L1640" s="10"/>
      <c r="M1640" s="10"/>
      <c r="N1640" s="10"/>
      <c r="O1640" s="10"/>
      <c r="P1640" s="10"/>
      <c r="Q1640" s="10"/>
      <c r="R1640" s="10"/>
      <c r="S1640" s="10"/>
      <c r="T1640" s="10"/>
      <c r="U1640" s="10"/>
      <c r="V1640" s="10"/>
      <c r="W1640" s="10"/>
      <c r="X1640" s="10"/>
      <c r="Y1640" s="10"/>
    </row>
    <row r="1641" spans="1:25" ht="16.5" customHeight="1" x14ac:dyDescent="0.2">
      <c r="A1641" s="342" t="str">
        <f>"TOTAL - "&amp;'Planilha orçamentária'!F108</f>
        <v>TOTAL - UN</v>
      </c>
      <c r="B1641" s="342"/>
      <c r="C1641" s="342"/>
      <c r="D1641" s="342"/>
      <c r="E1641" s="342"/>
      <c r="F1641" s="342"/>
      <c r="G1641" s="342"/>
      <c r="H1641" s="342"/>
      <c r="I1641" s="342"/>
      <c r="J1641" s="149">
        <f>SUM(J1625:J1640)</f>
        <v>336</v>
      </c>
      <c r="K1641" s="10"/>
      <c r="L1641" s="10"/>
      <c r="M1641" s="10"/>
      <c r="N1641" s="10"/>
      <c r="O1641" s="10"/>
      <c r="P1641" s="10"/>
      <c r="Q1641" s="10"/>
      <c r="R1641" s="10"/>
      <c r="S1641" s="10"/>
      <c r="T1641" s="10"/>
      <c r="U1641" s="10"/>
      <c r="V1641" s="10"/>
      <c r="W1641" s="10"/>
      <c r="X1641" s="10"/>
      <c r="Y1641" s="10"/>
    </row>
    <row r="1642" spans="1:25" ht="16.5" customHeight="1" x14ac:dyDescent="0.2">
      <c r="A1642" s="184" t="str">
        <f>'Planilha orçamentária'!A109</f>
        <v>13.11</v>
      </c>
      <c r="B1642" s="343" t="str">
        <f>'Planilha orçamentária'!D109</f>
        <v>Ralo seco pvc quadrado 100 x 53 x 40 mm com grelha branca</v>
      </c>
      <c r="C1642" s="344"/>
      <c r="D1642" s="344"/>
      <c r="E1642" s="344"/>
      <c r="F1642" s="344"/>
      <c r="G1642" s="344"/>
      <c r="H1642" s="344"/>
      <c r="I1642" s="344"/>
      <c r="J1642" s="344"/>
      <c r="K1642" s="10"/>
      <c r="L1642" s="10"/>
      <c r="M1642" s="10"/>
      <c r="N1642" s="10"/>
      <c r="O1642" s="10"/>
      <c r="P1642" s="10"/>
      <c r="Q1642" s="10"/>
      <c r="R1642" s="10"/>
      <c r="S1642" s="10"/>
      <c r="T1642" s="10"/>
      <c r="U1642" s="10"/>
      <c r="V1642" s="10"/>
      <c r="W1642" s="10"/>
      <c r="X1642" s="10"/>
      <c r="Y1642" s="10"/>
    </row>
    <row r="1643" spans="1:25" ht="16.5" customHeight="1" x14ac:dyDescent="0.2">
      <c r="A1643" s="327" t="s">
        <v>120</v>
      </c>
      <c r="B1643" s="328"/>
      <c r="C1643" s="328"/>
      <c r="D1643" s="182" t="s">
        <v>121</v>
      </c>
      <c r="E1643" s="182" t="s">
        <v>122</v>
      </c>
      <c r="F1643" s="181" t="s">
        <v>123</v>
      </c>
      <c r="G1643" s="181" t="s">
        <v>124</v>
      </c>
      <c r="H1643" s="181" t="s">
        <v>125</v>
      </c>
      <c r="I1643" s="182" t="s">
        <v>126</v>
      </c>
      <c r="J1643" s="182" t="s">
        <v>113</v>
      </c>
      <c r="K1643" s="10"/>
      <c r="L1643" s="10"/>
      <c r="M1643" s="10"/>
      <c r="N1643" s="10"/>
      <c r="O1643" s="10"/>
      <c r="P1643" s="10"/>
      <c r="Q1643" s="10"/>
      <c r="R1643" s="10"/>
      <c r="S1643" s="10"/>
      <c r="T1643" s="10"/>
      <c r="U1643" s="10"/>
      <c r="V1643" s="10"/>
      <c r="W1643" s="10"/>
      <c r="X1643" s="10"/>
      <c r="Y1643" s="10"/>
    </row>
    <row r="1644" spans="1:25" ht="16.5" customHeight="1" x14ac:dyDescent="0.2">
      <c r="A1644" s="403" t="s">
        <v>671</v>
      </c>
      <c r="B1644" s="404"/>
      <c r="C1644" s="405"/>
      <c r="D1644" s="148"/>
      <c r="E1644" s="148"/>
      <c r="F1644" s="148"/>
      <c r="G1644" s="148">
        <v>7</v>
      </c>
      <c r="H1644" s="148"/>
      <c r="I1644" s="148"/>
      <c r="J1644" s="170">
        <f t="shared" ref="J1644:J1659" si="95">PRODUCT(D1644:H1644)-I1644</f>
        <v>7</v>
      </c>
      <c r="L1644" s="10"/>
      <c r="M1644" s="10"/>
      <c r="N1644" s="10"/>
      <c r="O1644" s="10"/>
      <c r="P1644" s="10"/>
      <c r="Q1644" s="10"/>
      <c r="R1644" s="10"/>
      <c r="S1644" s="10"/>
      <c r="T1644" s="10"/>
      <c r="U1644" s="10"/>
      <c r="V1644" s="10"/>
      <c r="W1644" s="10"/>
      <c r="X1644" s="10"/>
      <c r="Y1644" s="10"/>
    </row>
    <row r="1645" spans="1:25" ht="16.5" customHeight="1" x14ac:dyDescent="0.2">
      <c r="A1645" s="403" t="s">
        <v>672</v>
      </c>
      <c r="B1645" s="404"/>
      <c r="C1645" s="405"/>
      <c r="D1645" s="148"/>
      <c r="E1645" s="148"/>
      <c r="F1645" s="148"/>
      <c r="G1645" s="148">
        <v>7</v>
      </c>
      <c r="H1645" s="148"/>
      <c r="I1645" s="148"/>
      <c r="J1645" s="170">
        <f t="shared" si="95"/>
        <v>7</v>
      </c>
      <c r="L1645" s="10"/>
      <c r="M1645" s="10"/>
      <c r="N1645" s="10"/>
      <c r="O1645" s="10"/>
      <c r="P1645" s="10"/>
      <c r="Q1645" s="10"/>
      <c r="R1645" s="10"/>
      <c r="S1645" s="10"/>
      <c r="T1645" s="10"/>
      <c r="U1645" s="10"/>
      <c r="V1645" s="10"/>
      <c r="W1645" s="10"/>
      <c r="X1645" s="10"/>
      <c r="Y1645" s="10"/>
    </row>
    <row r="1646" spans="1:25" ht="16.5" customHeight="1" x14ac:dyDescent="0.2">
      <c r="A1646" s="403" t="s">
        <v>673</v>
      </c>
      <c r="B1646" s="404"/>
      <c r="C1646" s="405"/>
      <c r="D1646" s="148"/>
      <c r="E1646" s="148"/>
      <c r="F1646" s="148"/>
      <c r="G1646" s="148">
        <v>7</v>
      </c>
      <c r="H1646" s="148"/>
      <c r="I1646" s="148"/>
      <c r="J1646" s="170">
        <f t="shared" si="95"/>
        <v>7</v>
      </c>
      <c r="L1646" s="10"/>
      <c r="M1646" s="10"/>
      <c r="N1646" s="10"/>
      <c r="O1646" s="10"/>
      <c r="P1646" s="10"/>
      <c r="Q1646" s="10"/>
      <c r="R1646" s="10"/>
      <c r="S1646" s="10"/>
      <c r="T1646" s="10"/>
      <c r="U1646" s="10"/>
      <c r="V1646" s="10"/>
      <c r="W1646" s="10"/>
      <c r="X1646" s="10"/>
      <c r="Y1646" s="10"/>
    </row>
    <row r="1647" spans="1:25" ht="16.5" customHeight="1" x14ac:dyDescent="0.2">
      <c r="A1647" s="403" t="s">
        <v>674</v>
      </c>
      <c r="B1647" s="404"/>
      <c r="C1647" s="405"/>
      <c r="D1647" s="148"/>
      <c r="E1647" s="148"/>
      <c r="F1647" s="148"/>
      <c r="G1647" s="148">
        <v>7</v>
      </c>
      <c r="H1647" s="148"/>
      <c r="I1647" s="148"/>
      <c r="J1647" s="170">
        <f t="shared" si="95"/>
        <v>7</v>
      </c>
      <c r="L1647" s="10"/>
      <c r="M1647" s="10"/>
      <c r="N1647" s="10"/>
      <c r="O1647" s="10"/>
      <c r="P1647" s="10"/>
      <c r="Q1647" s="10"/>
      <c r="R1647" s="10"/>
      <c r="S1647" s="10"/>
      <c r="T1647" s="10"/>
      <c r="U1647" s="10"/>
      <c r="V1647" s="10"/>
      <c r="W1647" s="10"/>
      <c r="X1647" s="10"/>
      <c r="Y1647" s="10"/>
    </row>
    <row r="1648" spans="1:25" ht="16.5" customHeight="1" x14ac:dyDescent="0.2">
      <c r="A1648" s="403" t="s">
        <v>816</v>
      </c>
      <c r="B1648" s="404"/>
      <c r="C1648" s="405"/>
      <c r="D1648" s="148"/>
      <c r="E1648" s="148"/>
      <c r="F1648" s="148"/>
      <c r="G1648" s="148">
        <v>7</v>
      </c>
      <c r="H1648" s="148"/>
      <c r="I1648" s="148"/>
      <c r="J1648" s="170">
        <f t="shared" si="95"/>
        <v>7</v>
      </c>
      <c r="L1648" s="10"/>
      <c r="M1648" s="10"/>
      <c r="N1648" s="10"/>
      <c r="O1648" s="10"/>
      <c r="P1648" s="10"/>
      <c r="Q1648" s="10"/>
      <c r="R1648" s="10"/>
      <c r="S1648" s="10"/>
      <c r="T1648" s="10"/>
      <c r="U1648" s="10"/>
      <c r="V1648" s="10"/>
      <c r="W1648" s="10"/>
      <c r="X1648" s="10"/>
      <c r="Y1648" s="10"/>
    </row>
    <row r="1649" spans="1:25" ht="16.5" customHeight="1" x14ac:dyDescent="0.2">
      <c r="A1649" s="403" t="s">
        <v>676</v>
      </c>
      <c r="B1649" s="404"/>
      <c r="C1649" s="405"/>
      <c r="D1649" s="148"/>
      <c r="E1649" s="148"/>
      <c r="F1649" s="148"/>
      <c r="G1649" s="148">
        <v>7</v>
      </c>
      <c r="H1649" s="148"/>
      <c r="I1649" s="148"/>
      <c r="J1649" s="170">
        <f t="shared" si="95"/>
        <v>7</v>
      </c>
      <c r="L1649" s="10"/>
      <c r="M1649" s="10"/>
      <c r="N1649" s="10"/>
      <c r="O1649" s="10"/>
      <c r="P1649" s="10"/>
      <c r="Q1649" s="10"/>
      <c r="R1649" s="10"/>
      <c r="S1649" s="10"/>
      <c r="T1649" s="10"/>
      <c r="U1649" s="10"/>
      <c r="V1649" s="10"/>
      <c r="W1649" s="10"/>
      <c r="X1649" s="10"/>
      <c r="Y1649" s="10"/>
    </row>
    <row r="1650" spans="1:25" ht="16.5" customHeight="1" x14ac:dyDescent="0.2">
      <c r="A1650" s="403" t="s">
        <v>677</v>
      </c>
      <c r="B1650" s="404"/>
      <c r="C1650" s="405"/>
      <c r="D1650" s="148"/>
      <c r="E1650" s="148"/>
      <c r="F1650" s="148"/>
      <c r="G1650" s="148">
        <v>7</v>
      </c>
      <c r="H1650" s="148"/>
      <c r="I1650" s="148"/>
      <c r="J1650" s="170">
        <f t="shared" si="95"/>
        <v>7</v>
      </c>
      <c r="L1650" s="10"/>
      <c r="M1650" s="10"/>
      <c r="N1650" s="10"/>
      <c r="O1650" s="10"/>
      <c r="P1650" s="10"/>
      <c r="Q1650" s="10"/>
      <c r="R1650" s="10"/>
      <c r="S1650" s="10"/>
      <c r="T1650" s="10"/>
      <c r="U1650" s="10"/>
      <c r="V1650" s="10"/>
      <c r="W1650" s="10"/>
      <c r="X1650" s="10"/>
      <c r="Y1650" s="10"/>
    </row>
    <row r="1651" spans="1:25" ht="16.5" customHeight="1" x14ac:dyDescent="0.2">
      <c r="A1651" s="403" t="s">
        <v>678</v>
      </c>
      <c r="B1651" s="404"/>
      <c r="C1651" s="405"/>
      <c r="D1651" s="148"/>
      <c r="E1651" s="148"/>
      <c r="F1651" s="148"/>
      <c r="G1651" s="148">
        <v>7</v>
      </c>
      <c r="H1651" s="148"/>
      <c r="I1651" s="148"/>
      <c r="J1651" s="170">
        <f t="shared" si="95"/>
        <v>7</v>
      </c>
      <c r="L1651" s="10"/>
      <c r="M1651" s="10"/>
      <c r="N1651" s="10"/>
      <c r="O1651" s="10"/>
      <c r="P1651" s="10"/>
      <c r="Q1651" s="10"/>
      <c r="R1651" s="10"/>
      <c r="S1651" s="10"/>
      <c r="T1651" s="10"/>
      <c r="U1651" s="10"/>
      <c r="V1651" s="10"/>
      <c r="W1651" s="10"/>
      <c r="X1651" s="10"/>
      <c r="Y1651" s="10"/>
    </row>
    <row r="1652" spans="1:25" ht="16.5" customHeight="1" x14ac:dyDescent="0.2">
      <c r="A1652" s="403" t="s">
        <v>679</v>
      </c>
      <c r="B1652" s="404"/>
      <c r="C1652" s="405"/>
      <c r="D1652" s="148"/>
      <c r="E1652" s="148"/>
      <c r="F1652" s="148"/>
      <c r="G1652" s="148">
        <v>7</v>
      </c>
      <c r="H1652" s="148"/>
      <c r="I1652" s="148"/>
      <c r="J1652" s="170">
        <f t="shared" si="95"/>
        <v>7</v>
      </c>
      <c r="L1652" s="10"/>
      <c r="M1652" s="10"/>
      <c r="N1652" s="10"/>
      <c r="O1652" s="10"/>
      <c r="P1652" s="10"/>
      <c r="Q1652" s="10"/>
      <c r="R1652" s="10"/>
      <c r="S1652" s="10"/>
      <c r="T1652" s="10"/>
      <c r="U1652" s="10"/>
      <c r="V1652" s="10"/>
      <c r="W1652" s="10"/>
      <c r="X1652" s="10"/>
      <c r="Y1652" s="10"/>
    </row>
    <row r="1653" spans="1:25" ht="16.5" customHeight="1" x14ac:dyDescent="0.2">
      <c r="A1653" s="403" t="s">
        <v>769</v>
      </c>
      <c r="B1653" s="404"/>
      <c r="C1653" s="405"/>
      <c r="D1653" s="148"/>
      <c r="E1653" s="148"/>
      <c r="F1653" s="148"/>
      <c r="G1653" s="148">
        <v>7</v>
      </c>
      <c r="H1653" s="148"/>
      <c r="I1653" s="148"/>
      <c r="J1653" s="170">
        <f t="shared" si="95"/>
        <v>7</v>
      </c>
      <c r="L1653" s="10"/>
      <c r="M1653" s="10"/>
      <c r="N1653" s="10"/>
      <c r="O1653" s="10"/>
      <c r="P1653" s="10"/>
      <c r="Q1653" s="10"/>
      <c r="R1653" s="10"/>
      <c r="S1653" s="10"/>
      <c r="T1653" s="10"/>
      <c r="U1653" s="10"/>
      <c r="V1653" s="10"/>
      <c r="W1653" s="10"/>
      <c r="X1653" s="10"/>
      <c r="Y1653" s="10"/>
    </row>
    <row r="1654" spans="1:25" ht="16.5" customHeight="1" x14ac:dyDescent="0.2">
      <c r="A1654" s="403" t="s">
        <v>681</v>
      </c>
      <c r="B1654" s="404"/>
      <c r="C1654" s="405"/>
      <c r="D1654" s="148"/>
      <c r="E1654" s="148"/>
      <c r="F1654" s="148"/>
      <c r="G1654" s="148">
        <v>7</v>
      </c>
      <c r="H1654" s="148"/>
      <c r="I1654" s="148"/>
      <c r="J1654" s="170">
        <f t="shared" si="95"/>
        <v>7</v>
      </c>
      <c r="L1654" s="10"/>
      <c r="M1654" s="10"/>
      <c r="N1654" s="10"/>
      <c r="O1654" s="10"/>
      <c r="P1654" s="10"/>
      <c r="Q1654" s="10"/>
      <c r="R1654" s="10"/>
      <c r="S1654" s="10"/>
      <c r="T1654" s="10"/>
      <c r="U1654" s="10"/>
      <c r="V1654" s="10"/>
      <c r="W1654" s="10"/>
      <c r="X1654" s="10"/>
      <c r="Y1654" s="10"/>
    </row>
    <row r="1655" spans="1:25" ht="16.5" customHeight="1" x14ac:dyDescent="0.2">
      <c r="A1655" s="403" t="s">
        <v>682</v>
      </c>
      <c r="B1655" s="404"/>
      <c r="C1655" s="405"/>
      <c r="D1655" s="148"/>
      <c r="E1655" s="148"/>
      <c r="F1655" s="148"/>
      <c r="G1655" s="148">
        <v>7</v>
      </c>
      <c r="H1655" s="148"/>
      <c r="I1655" s="148"/>
      <c r="J1655" s="170">
        <f t="shared" si="95"/>
        <v>7</v>
      </c>
      <c r="L1655" s="10"/>
      <c r="M1655" s="10"/>
      <c r="N1655" s="10"/>
      <c r="O1655" s="10"/>
      <c r="P1655" s="10"/>
      <c r="Q1655" s="10"/>
      <c r="R1655" s="10"/>
      <c r="S1655" s="10"/>
      <c r="T1655" s="10"/>
      <c r="U1655" s="10"/>
      <c r="V1655" s="10"/>
      <c r="W1655" s="10"/>
      <c r="X1655" s="10"/>
      <c r="Y1655" s="10"/>
    </row>
    <row r="1656" spans="1:25" ht="16.5" customHeight="1" x14ac:dyDescent="0.2">
      <c r="A1656" s="403" t="s">
        <v>683</v>
      </c>
      <c r="B1656" s="404"/>
      <c r="C1656" s="405"/>
      <c r="D1656" s="148"/>
      <c r="E1656" s="148"/>
      <c r="F1656" s="148"/>
      <c r="G1656" s="148">
        <v>7</v>
      </c>
      <c r="H1656" s="148"/>
      <c r="I1656" s="148"/>
      <c r="J1656" s="170">
        <f t="shared" si="95"/>
        <v>7</v>
      </c>
      <c r="L1656" s="10"/>
      <c r="M1656" s="10"/>
      <c r="N1656" s="10"/>
      <c r="O1656" s="10"/>
      <c r="P1656" s="10"/>
      <c r="Q1656" s="10"/>
      <c r="R1656" s="10"/>
      <c r="S1656" s="10"/>
      <c r="T1656" s="10"/>
      <c r="U1656" s="10"/>
      <c r="V1656" s="10"/>
      <c r="W1656" s="10"/>
      <c r="X1656" s="10"/>
      <c r="Y1656" s="10"/>
    </row>
    <row r="1657" spans="1:25" ht="16.5" customHeight="1" x14ac:dyDescent="0.2">
      <c r="A1657" s="403" t="s">
        <v>817</v>
      </c>
      <c r="B1657" s="404"/>
      <c r="C1657" s="405"/>
      <c r="D1657" s="148"/>
      <c r="E1657" s="148"/>
      <c r="F1657" s="148"/>
      <c r="G1657" s="148">
        <v>7</v>
      </c>
      <c r="H1657" s="148"/>
      <c r="I1657" s="148"/>
      <c r="J1657" s="170">
        <f t="shared" si="95"/>
        <v>7</v>
      </c>
      <c r="L1657" s="10"/>
      <c r="M1657" s="10"/>
      <c r="N1657" s="10"/>
      <c r="O1657" s="10"/>
      <c r="P1657" s="10"/>
      <c r="Q1657" s="10"/>
      <c r="R1657" s="10"/>
      <c r="S1657" s="10"/>
      <c r="T1657" s="10"/>
      <c r="U1657" s="10"/>
      <c r="V1657" s="10"/>
      <c r="W1657" s="10"/>
      <c r="X1657" s="10"/>
      <c r="Y1657" s="10"/>
    </row>
    <row r="1658" spans="1:25" ht="16.5" customHeight="1" x14ac:dyDescent="0.2">
      <c r="A1658" s="403" t="s">
        <v>792</v>
      </c>
      <c r="B1658" s="404"/>
      <c r="C1658" s="405"/>
      <c r="D1658" s="148"/>
      <c r="E1658" s="148"/>
      <c r="F1658" s="148"/>
      <c r="G1658" s="148">
        <v>7</v>
      </c>
      <c r="H1658" s="148"/>
      <c r="I1658" s="148"/>
      <c r="J1658" s="170">
        <f t="shared" si="95"/>
        <v>7</v>
      </c>
      <c r="L1658" s="10"/>
      <c r="M1658" s="10"/>
      <c r="N1658" s="10"/>
      <c r="O1658" s="10"/>
      <c r="P1658" s="10"/>
      <c r="Q1658" s="10"/>
      <c r="R1658" s="10"/>
      <c r="S1658" s="10"/>
      <c r="T1658" s="10"/>
      <c r="U1658" s="10"/>
      <c r="V1658" s="10"/>
      <c r="W1658" s="10"/>
      <c r="X1658" s="10"/>
      <c r="Y1658" s="10"/>
    </row>
    <row r="1659" spans="1:25" ht="16.5" customHeight="1" x14ac:dyDescent="0.2">
      <c r="A1659" s="403" t="s">
        <v>687</v>
      </c>
      <c r="B1659" s="404"/>
      <c r="C1659" s="405"/>
      <c r="D1659" s="148"/>
      <c r="E1659" s="148"/>
      <c r="F1659" s="148"/>
      <c r="G1659" s="148">
        <v>7</v>
      </c>
      <c r="H1659" s="148"/>
      <c r="I1659" s="148"/>
      <c r="J1659" s="170">
        <f t="shared" si="95"/>
        <v>7</v>
      </c>
      <c r="L1659" s="10"/>
      <c r="M1659" s="10"/>
      <c r="N1659" s="10"/>
      <c r="O1659" s="10"/>
      <c r="P1659" s="10"/>
      <c r="Q1659" s="10"/>
      <c r="R1659" s="10"/>
      <c r="S1659" s="10"/>
      <c r="T1659" s="10"/>
      <c r="U1659" s="10"/>
      <c r="V1659" s="10"/>
      <c r="W1659" s="10"/>
      <c r="X1659" s="10"/>
      <c r="Y1659" s="10"/>
    </row>
    <row r="1660" spans="1:25" ht="16.5" customHeight="1" x14ac:dyDescent="0.2">
      <c r="A1660" s="342" t="str">
        <f>"TOTAL - "&amp;'Planilha orçamentária'!F109</f>
        <v>TOTAL - UN</v>
      </c>
      <c r="B1660" s="342"/>
      <c r="C1660" s="342"/>
      <c r="D1660" s="342"/>
      <c r="E1660" s="342"/>
      <c r="F1660" s="342"/>
      <c r="G1660" s="342"/>
      <c r="H1660" s="342"/>
      <c r="I1660" s="342"/>
      <c r="J1660" s="149">
        <f>SUM(J1644:J1659)</f>
        <v>112</v>
      </c>
      <c r="K1660" s="10"/>
      <c r="L1660" s="10"/>
      <c r="M1660" s="10"/>
      <c r="N1660" s="10"/>
      <c r="O1660" s="10"/>
      <c r="P1660" s="10"/>
      <c r="Q1660" s="10"/>
      <c r="R1660" s="10"/>
      <c r="S1660" s="10"/>
      <c r="T1660" s="10"/>
      <c r="U1660" s="10"/>
      <c r="V1660" s="10"/>
      <c r="W1660" s="10"/>
      <c r="X1660" s="10"/>
      <c r="Y1660" s="10"/>
    </row>
    <row r="1661" spans="1:25" ht="16.5" customHeight="1" x14ac:dyDescent="0.2">
      <c r="A1661" s="184" t="str">
        <f>'Planilha orçamentária'!A110</f>
        <v>13.12</v>
      </c>
      <c r="B1661" s="343" t="str">
        <f>'Planilha orçamentária'!D110</f>
        <v>Fornecimento e assentamento de tubo pvc rígido, drenagem/pluvial, PBV - série normal, dn 100 mm (4"), inclusive conexões</v>
      </c>
      <c r="C1661" s="344"/>
      <c r="D1661" s="344"/>
      <c r="E1661" s="344"/>
      <c r="F1661" s="344"/>
      <c r="G1661" s="344"/>
      <c r="H1661" s="344"/>
      <c r="I1661" s="344"/>
      <c r="J1661" s="344"/>
      <c r="K1661" s="10"/>
      <c r="L1661" s="10"/>
      <c r="M1661" s="10"/>
      <c r="N1661" s="10"/>
      <c r="O1661" s="10"/>
      <c r="P1661" s="10"/>
      <c r="Q1661" s="10"/>
      <c r="R1661" s="10"/>
      <c r="S1661" s="10"/>
      <c r="T1661" s="10"/>
      <c r="U1661" s="10"/>
      <c r="V1661" s="10"/>
      <c r="W1661" s="10"/>
      <c r="X1661" s="10"/>
      <c r="Y1661" s="10"/>
    </row>
    <row r="1662" spans="1:25" ht="16.5" customHeight="1" x14ac:dyDescent="0.2">
      <c r="A1662" s="327" t="s">
        <v>120</v>
      </c>
      <c r="B1662" s="328"/>
      <c r="C1662" s="328"/>
      <c r="D1662" s="182" t="s">
        <v>121</v>
      </c>
      <c r="E1662" s="182" t="s">
        <v>122</v>
      </c>
      <c r="F1662" s="181" t="s">
        <v>123</v>
      </c>
      <c r="G1662" s="181" t="s">
        <v>124</v>
      </c>
      <c r="H1662" s="181" t="s">
        <v>125</v>
      </c>
      <c r="I1662" s="182" t="s">
        <v>126</v>
      </c>
      <c r="J1662" s="182" t="s">
        <v>113</v>
      </c>
      <c r="K1662" s="10"/>
      <c r="L1662" s="10"/>
      <c r="M1662" s="10"/>
      <c r="N1662" s="10"/>
      <c r="O1662" s="10"/>
      <c r="P1662" s="10"/>
      <c r="Q1662" s="10"/>
      <c r="R1662" s="10"/>
      <c r="S1662" s="10"/>
      <c r="T1662" s="10"/>
      <c r="U1662" s="10"/>
      <c r="V1662" s="10"/>
      <c r="W1662" s="10"/>
      <c r="X1662" s="10"/>
      <c r="Y1662" s="10"/>
    </row>
    <row r="1663" spans="1:25" ht="16.5" customHeight="1" x14ac:dyDescent="0.2">
      <c r="A1663" s="318" t="s">
        <v>818</v>
      </c>
      <c r="B1663" s="319"/>
      <c r="C1663" s="332"/>
      <c r="D1663" s="148">
        <v>38</v>
      </c>
      <c r="E1663" s="148"/>
      <c r="F1663" s="148"/>
      <c r="G1663" s="148">
        <v>7</v>
      </c>
      <c r="H1663" s="148"/>
      <c r="I1663" s="148"/>
      <c r="J1663" s="170">
        <f t="shared" ref="J1663:J1664" si="96">PRODUCT(D1663:H1663)-I1663</f>
        <v>266</v>
      </c>
      <c r="L1663" s="10"/>
      <c r="M1663" s="10"/>
      <c r="N1663" s="10"/>
      <c r="O1663" s="10"/>
      <c r="P1663" s="10"/>
      <c r="Q1663" s="10"/>
      <c r="R1663" s="10"/>
      <c r="S1663" s="10"/>
      <c r="T1663" s="10"/>
      <c r="U1663" s="10"/>
      <c r="V1663" s="10"/>
      <c r="W1663" s="10"/>
      <c r="X1663" s="10"/>
      <c r="Y1663" s="10"/>
    </row>
    <row r="1664" spans="1:25" ht="16.5" customHeight="1" x14ac:dyDescent="0.2">
      <c r="A1664" s="318" t="s">
        <v>819</v>
      </c>
      <c r="B1664" s="319"/>
      <c r="C1664" s="332"/>
      <c r="D1664" s="148">
        <v>36</v>
      </c>
      <c r="E1664" s="148"/>
      <c r="F1664" s="148"/>
      <c r="G1664" s="148">
        <v>7</v>
      </c>
      <c r="H1664" s="148"/>
      <c r="I1664" s="148"/>
      <c r="J1664" s="170">
        <f t="shared" si="96"/>
        <v>252</v>
      </c>
      <c r="L1664" s="10"/>
      <c r="M1664" s="10"/>
      <c r="N1664" s="10"/>
      <c r="O1664" s="10"/>
      <c r="P1664" s="10"/>
      <c r="Q1664" s="10"/>
      <c r="R1664" s="10"/>
      <c r="S1664" s="10"/>
      <c r="T1664" s="10"/>
      <c r="U1664" s="10"/>
      <c r="V1664" s="10"/>
      <c r="W1664" s="10"/>
      <c r="X1664" s="10"/>
      <c r="Y1664" s="10"/>
    </row>
    <row r="1665" spans="1:25" ht="16.5" customHeight="1" x14ac:dyDescent="0.2">
      <c r="A1665" s="342" t="str">
        <f>"TOTAL - "&amp;'Planilha orçamentária'!F110</f>
        <v>TOTAL - M</v>
      </c>
      <c r="B1665" s="342"/>
      <c r="C1665" s="342"/>
      <c r="D1665" s="342"/>
      <c r="E1665" s="342"/>
      <c r="F1665" s="342"/>
      <c r="G1665" s="342"/>
      <c r="H1665" s="342"/>
      <c r="I1665" s="342"/>
      <c r="J1665" s="149">
        <f>SUM(J1663:J1664)</f>
        <v>518</v>
      </c>
      <c r="K1665" s="10"/>
      <c r="L1665" s="10"/>
      <c r="M1665" s="10"/>
      <c r="N1665" s="10"/>
      <c r="O1665" s="10"/>
      <c r="P1665" s="10"/>
      <c r="Q1665" s="10"/>
      <c r="R1665" s="10"/>
      <c r="S1665" s="10"/>
      <c r="T1665" s="10"/>
      <c r="U1665" s="10"/>
      <c r="V1665" s="10"/>
      <c r="W1665" s="10"/>
      <c r="X1665" s="10"/>
      <c r="Y1665" s="10"/>
    </row>
    <row r="1666" spans="1:25" ht="16.5" customHeight="1" x14ac:dyDescent="0.2">
      <c r="A1666" s="184" t="str">
        <f>'Planilha orçamentária'!A111</f>
        <v>13.13</v>
      </c>
      <c r="B1666" s="343" t="str">
        <f>'Planilha orçamentária'!D111</f>
        <v>Caixa de passagem em alvenaria e tampa de concreto, fundo de brita, tipo 1, 50 x 50 x 60 cm, inclusive escavação, reaterro e bota-fora</v>
      </c>
      <c r="C1666" s="344"/>
      <c r="D1666" s="344"/>
      <c r="E1666" s="344"/>
      <c r="F1666" s="344"/>
      <c r="G1666" s="344"/>
      <c r="H1666" s="344"/>
      <c r="I1666" s="344"/>
      <c r="J1666" s="344"/>
      <c r="K1666" s="10"/>
      <c r="L1666" s="10"/>
      <c r="M1666" s="10"/>
      <c r="N1666" s="10"/>
      <c r="O1666" s="10"/>
      <c r="P1666" s="10"/>
      <c r="Q1666" s="10"/>
      <c r="R1666" s="10"/>
      <c r="S1666" s="10"/>
      <c r="T1666" s="10"/>
      <c r="U1666" s="10"/>
      <c r="V1666" s="10"/>
      <c r="W1666" s="10"/>
      <c r="X1666" s="10"/>
      <c r="Y1666" s="10"/>
    </row>
    <row r="1667" spans="1:25" ht="16.5" customHeight="1" x14ac:dyDescent="0.2">
      <c r="A1667" s="327" t="s">
        <v>120</v>
      </c>
      <c r="B1667" s="328"/>
      <c r="C1667" s="328"/>
      <c r="D1667" s="182" t="s">
        <v>121</v>
      </c>
      <c r="E1667" s="182" t="s">
        <v>122</v>
      </c>
      <c r="F1667" s="181" t="s">
        <v>123</v>
      </c>
      <c r="G1667" s="181" t="s">
        <v>124</v>
      </c>
      <c r="H1667" s="181" t="s">
        <v>125</v>
      </c>
      <c r="I1667" s="182" t="s">
        <v>126</v>
      </c>
      <c r="J1667" s="182" t="s">
        <v>113</v>
      </c>
      <c r="K1667" s="10"/>
      <c r="L1667" s="10"/>
      <c r="M1667" s="10"/>
      <c r="N1667" s="10"/>
      <c r="O1667" s="10"/>
      <c r="P1667" s="10"/>
      <c r="Q1667" s="10"/>
      <c r="R1667" s="10"/>
      <c r="S1667" s="10"/>
      <c r="T1667" s="10"/>
      <c r="U1667" s="10"/>
      <c r="V1667" s="10"/>
      <c r="W1667" s="10"/>
      <c r="X1667" s="10"/>
      <c r="Y1667" s="10"/>
    </row>
    <row r="1668" spans="1:25" ht="16.5" customHeight="1" x14ac:dyDescent="0.2">
      <c r="A1668" s="318" t="s">
        <v>818</v>
      </c>
      <c r="B1668" s="319"/>
      <c r="C1668" s="332"/>
      <c r="D1668" s="148"/>
      <c r="E1668" s="148"/>
      <c r="F1668" s="148"/>
      <c r="G1668" s="148">
        <v>42</v>
      </c>
      <c r="H1668" s="148"/>
      <c r="I1668" s="148"/>
      <c r="J1668" s="170">
        <f t="shared" ref="J1668" si="97">PRODUCT(D1668:H1668)-I1668</f>
        <v>42</v>
      </c>
      <c r="L1668" s="10"/>
      <c r="M1668" s="10"/>
      <c r="N1668" s="10"/>
      <c r="O1668" s="10"/>
      <c r="P1668" s="10"/>
      <c r="Q1668" s="10"/>
      <c r="R1668" s="10"/>
      <c r="S1668" s="10"/>
      <c r="T1668" s="10"/>
      <c r="U1668" s="10"/>
      <c r="V1668" s="10"/>
      <c r="W1668" s="10"/>
      <c r="X1668" s="10"/>
      <c r="Y1668" s="10"/>
    </row>
    <row r="1669" spans="1:25" ht="16.5" customHeight="1" x14ac:dyDescent="0.2">
      <c r="A1669" s="318" t="s">
        <v>819</v>
      </c>
      <c r="B1669" s="319"/>
      <c r="C1669" s="332"/>
      <c r="D1669" s="148"/>
      <c r="E1669" s="148"/>
      <c r="F1669" s="148"/>
      <c r="G1669" s="148">
        <v>28</v>
      </c>
      <c r="H1669" s="148"/>
      <c r="I1669" s="148"/>
      <c r="J1669" s="170">
        <f>PRODUCT(D1669:H1669)-I1669</f>
        <v>28</v>
      </c>
      <c r="L1669" s="10"/>
      <c r="M1669" s="10"/>
      <c r="N1669" s="10"/>
      <c r="O1669" s="10"/>
      <c r="P1669" s="10"/>
      <c r="Q1669" s="10"/>
      <c r="R1669" s="10"/>
      <c r="S1669" s="10"/>
      <c r="T1669" s="10"/>
      <c r="U1669" s="10"/>
      <c r="V1669" s="10"/>
      <c r="W1669" s="10"/>
      <c r="X1669" s="10"/>
      <c r="Y1669" s="10"/>
    </row>
    <row r="1670" spans="1:25" ht="16.5" customHeight="1" x14ac:dyDescent="0.2">
      <c r="A1670" s="342" t="str">
        <f>"TOTAL - "&amp;'Planilha orçamentária'!F111</f>
        <v>TOTAL - UN</v>
      </c>
      <c r="B1670" s="342"/>
      <c r="C1670" s="342"/>
      <c r="D1670" s="342"/>
      <c r="E1670" s="342"/>
      <c r="F1670" s="342"/>
      <c r="G1670" s="342"/>
      <c r="H1670" s="342"/>
      <c r="I1670" s="342"/>
      <c r="J1670" s="149">
        <f>SUM(J1668:J1669)</f>
        <v>70</v>
      </c>
      <c r="K1670" s="10"/>
      <c r="L1670" s="10"/>
      <c r="M1670" s="10"/>
      <c r="N1670" s="10"/>
      <c r="O1670" s="10"/>
      <c r="P1670" s="10"/>
      <c r="Q1670" s="10"/>
      <c r="R1670" s="10"/>
      <c r="S1670" s="10"/>
      <c r="T1670" s="10"/>
      <c r="U1670" s="10"/>
      <c r="V1670" s="10"/>
      <c r="W1670" s="10"/>
      <c r="X1670" s="10"/>
      <c r="Y1670" s="10"/>
    </row>
    <row r="1671" spans="1:25" ht="16.5" customHeight="1" x14ac:dyDescent="0.2">
      <c r="A1671" s="38">
        <f>'Planilha orçamentária'!A113</f>
        <v>14</v>
      </c>
      <c r="B1671" s="392" t="str">
        <f>'Planilha orçamentária'!D113</f>
        <v>INSTALAÇÕES ELÉTRICAS</v>
      </c>
      <c r="C1671" s="393"/>
      <c r="D1671" s="393"/>
      <c r="E1671" s="393"/>
      <c r="F1671" s="393"/>
      <c r="G1671" s="393"/>
      <c r="H1671" s="393"/>
      <c r="I1671" s="393"/>
      <c r="J1671" s="393"/>
    </row>
    <row r="1672" spans="1:25" ht="16.5" customHeight="1" x14ac:dyDescent="0.2">
      <c r="A1672" s="184" t="str">
        <f>'Planilha orçamentária'!A114</f>
        <v>14.1</v>
      </c>
      <c r="B1672" s="343" t="str">
        <f>'Planilha orçamentária'!D114</f>
        <v>Cabo de cobre flexível, classe 5, isolamento tipo lshf/atox, não halogenado, antichama, termoplástico, unipolar, seção 10 mm2, 70°c, 450/750v - preto</v>
      </c>
      <c r="C1672" s="344"/>
      <c r="D1672" s="344"/>
      <c r="E1672" s="344"/>
      <c r="F1672" s="344"/>
      <c r="G1672" s="344"/>
      <c r="H1672" s="344"/>
      <c r="I1672" s="344"/>
      <c r="J1672" s="344"/>
      <c r="K1672" s="10"/>
      <c r="L1672" s="10"/>
      <c r="M1672" s="10"/>
      <c r="N1672" s="10"/>
      <c r="O1672" s="10"/>
      <c r="P1672" s="10"/>
      <c r="Q1672" s="10"/>
      <c r="R1672" s="10"/>
      <c r="S1672" s="10"/>
      <c r="T1672" s="10"/>
      <c r="U1672" s="10"/>
      <c r="V1672" s="10"/>
      <c r="W1672" s="10"/>
      <c r="X1672" s="10"/>
      <c r="Y1672" s="10"/>
    </row>
    <row r="1673" spans="1:25" ht="16.5" customHeight="1" x14ac:dyDescent="0.2">
      <c r="A1673" s="327" t="s">
        <v>120</v>
      </c>
      <c r="B1673" s="328"/>
      <c r="C1673" s="328"/>
      <c r="D1673" s="182" t="s">
        <v>121</v>
      </c>
      <c r="E1673" s="182" t="s">
        <v>122</v>
      </c>
      <c r="F1673" s="181" t="s">
        <v>123</v>
      </c>
      <c r="G1673" s="181" t="s">
        <v>124</v>
      </c>
      <c r="H1673" s="181" t="s">
        <v>128</v>
      </c>
      <c r="I1673" s="182" t="s">
        <v>125</v>
      </c>
      <c r="J1673" s="182" t="s">
        <v>113</v>
      </c>
      <c r="K1673" s="10"/>
      <c r="L1673" s="10"/>
      <c r="M1673" s="10"/>
      <c r="N1673" s="10"/>
      <c r="O1673" s="10"/>
      <c r="P1673" s="10"/>
      <c r="Q1673" s="10"/>
      <c r="R1673" s="10"/>
      <c r="S1673" s="10"/>
      <c r="T1673" s="10"/>
      <c r="U1673" s="10"/>
      <c r="V1673" s="10"/>
      <c r="W1673" s="10"/>
      <c r="X1673" s="10"/>
      <c r="Y1673" s="10"/>
    </row>
    <row r="1674" spans="1:25" ht="16.5" customHeight="1" x14ac:dyDescent="0.2">
      <c r="A1674" s="318" t="s">
        <v>820</v>
      </c>
      <c r="B1674" s="319"/>
      <c r="C1674" s="332"/>
      <c r="D1674" s="148"/>
      <c r="E1674" s="148"/>
      <c r="F1674" s="148"/>
      <c r="G1674" s="148">
        <v>6860</v>
      </c>
      <c r="H1674" s="148"/>
      <c r="I1674" s="148"/>
      <c r="J1674" s="170">
        <f>PRODUCT(D1674:H1674)-I1674</f>
        <v>6860</v>
      </c>
      <c r="L1674" s="10"/>
      <c r="M1674" s="10"/>
      <c r="N1674" s="10"/>
      <c r="O1674" s="10"/>
      <c r="P1674" s="10"/>
      <c r="Q1674" s="10"/>
      <c r="R1674" s="10"/>
      <c r="S1674" s="10"/>
      <c r="T1674" s="10"/>
      <c r="U1674" s="10"/>
      <c r="V1674" s="10"/>
      <c r="W1674" s="10"/>
      <c r="X1674" s="10"/>
      <c r="Y1674" s="10"/>
    </row>
    <row r="1675" spans="1:25" ht="16.5" customHeight="1" x14ac:dyDescent="0.2">
      <c r="A1675" s="342" t="str">
        <f>"TOTAL - "&amp;'Planilha orçamentária'!F114</f>
        <v>TOTAL - M</v>
      </c>
      <c r="B1675" s="342"/>
      <c r="C1675" s="342"/>
      <c r="D1675" s="342"/>
      <c r="E1675" s="342"/>
      <c r="F1675" s="342"/>
      <c r="G1675" s="342"/>
      <c r="H1675" s="342"/>
      <c r="I1675" s="342"/>
      <c r="J1675" s="149">
        <f>SUM(J1674)</f>
        <v>6860</v>
      </c>
      <c r="K1675" s="10"/>
      <c r="L1675" s="10"/>
      <c r="M1675" s="10"/>
      <c r="N1675" s="10"/>
      <c r="O1675" s="10"/>
      <c r="P1675" s="10"/>
      <c r="Q1675" s="10"/>
      <c r="R1675" s="10"/>
      <c r="S1675" s="10"/>
      <c r="T1675" s="10"/>
      <c r="U1675" s="10"/>
      <c r="V1675" s="10"/>
      <c r="W1675" s="10"/>
      <c r="X1675" s="10"/>
      <c r="Y1675" s="10"/>
    </row>
    <row r="1676" spans="1:25" ht="16.5" customHeight="1" x14ac:dyDescent="0.2">
      <c r="A1676" s="184" t="str">
        <f>'Planilha orçamentária'!A115</f>
        <v>14.2</v>
      </c>
      <c r="B1676" s="343" t="str">
        <f>'Planilha orçamentária'!D115</f>
        <v>Caixa de ligação/passagem em pvc rígido para eletroduto, dimensões 4"x2", embutida em alvenaria - fornecimento e instalação</v>
      </c>
      <c r="C1676" s="344"/>
      <c r="D1676" s="344"/>
      <c r="E1676" s="344"/>
      <c r="F1676" s="344"/>
      <c r="G1676" s="344"/>
      <c r="H1676" s="344"/>
      <c r="I1676" s="344"/>
      <c r="J1676" s="344"/>
      <c r="K1676" s="10"/>
      <c r="L1676" s="10"/>
      <c r="M1676" s="10"/>
      <c r="N1676" s="10"/>
      <c r="O1676" s="10"/>
      <c r="P1676" s="10"/>
      <c r="Q1676" s="10"/>
      <c r="R1676" s="10"/>
      <c r="S1676" s="10"/>
      <c r="T1676" s="10"/>
      <c r="U1676" s="10"/>
      <c r="V1676" s="10"/>
      <c r="W1676" s="10"/>
      <c r="X1676" s="10"/>
      <c r="Y1676" s="10"/>
    </row>
    <row r="1677" spans="1:25" ht="16.5" customHeight="1" x14ac:dyDescent="0.2">
      <c r="A1677" s="327" t="s">
        <v>120</v>
      </c>
      <c r="B1677" s="328"/>
      <c r="C1677" s="328"/>
      <c r="D1677" s="182" t="s">
        <v>121</v>
      </c>
      <c r="E1677" s="182" t="s">
        <v>122</v>
      </c>
      <c r="F1677" s="181" t="s">
        <v>123</v>
      </c>
      <c r="G1677" s="181" t="s">
        <v>124</v>
      </c>
      <c r="H1677" s="181" t="s">
        <v>128</v>
      </c>
      <c r="I1677" s="182" t="s">
        <v>125</v>
      </c>
      <c r="J1677" s="182" t="s">
        <v>113</v>
      </c>
      <c r="K1677" s="10"/>
      <c r="L1677" s="10"/>
      <c r="M1677" s="10"/>
      <c r="N1677" s="10"/>
      <c r="O1677" s="10"/>
      <c r="P1677" s="10"/>
      <c r="Q1677" s="10"/>
      <c r="R1677" s="10"/>
      <c r="S1677" s="10"/>
      <c r="T1677" s="10"/>
      <c r="U1677" s="10"/>
      <c r="V1677" s="10"/>
      <c r="W1677" s="10"/>
      <c r="X1677" s="10"/>
      <c r="Y1677" s="10"/>
    </row>
    <row r="1678" spans="1:25" ht="16.5" customHeight="1" x14ac:dyDescent="0.2">
      <c r="A1678" s="318" t="s">
        <v>820</v>
      </c>
      <c r="B1678" s="319"/>
      <c r="C1678" s="332"/>
      <c r="D1678" s="148"/>
      <c r="E1678" s="148"/>
      <c r="F1678" s="148"/>
      <c r="G1678" s="148">
        <v>3416</v>
      </c>
      <c r="H1678" s="148"/>
      <c r="I1678" s="148"/>
      <c r="J1678" s="170">
        <f>PRODUCT(D1678:H1678)-I1678</f>
        <v>3416</v>
      </c>
      <c r="L1678" s="10"/>
      <c r="M1678" s="10"/>
      <c r="N1678" s="10"/>
      <c r="O1678" s="10"/>
      <c r="P1678" s="10"/>
      <c r="Q1678" s="10"/>
      <c r="R1678" s="10"/>
      <c r="S1678" s="10"/>
      <c r="T1678" s="10"/>
      <c r="U1678" s="10"/>
      <c r="V1678" s="10"/>
      <c r="W1678" s="10"/>
      <c r="X1678" s="10"/>
      <c r="Y1678" s="10"/>
    </row>
    <row r="1679" spans="1:25" ht="16.5" customHeight="1" x14ac:dyDescent="0.2">
      <c r="A1679" s="342" t="str">
        <f>"TOTAL - "&amp;'Planilha orçamentária'!F115</f>
        <v>TOTAL - UN</v>
      </c>
      <c r="B1679" s="342"/>
      <c r="C1679" s="342"/>
      <c r="D1679" s="342"/>
      <c r="E1679" s="342"/>
      <c r="F1679" s="342"/>
      <c r="G1679" s="342"/>
      <c r="H1679" s="342"/>
      <c r="I1679" s="342"/>
      <c r="J1679" s="149">
        <f>SUM(J1678)</f>
        <v>3416</v>
      </c>
      <c r="K1679" s="10"/>
      <c r="L1679" s="10"/>
      <c r="M1679" s="10"/>
      <c r="N1679" s="10"/>
      <c r="O1679" s="10"/>
      <c r="P1679" s="10"/>
      <c r="Q1679" s="10"/>
      <c r="R1679" s="10"/>
      <c r="S1679" s="10"/>
      <c r="T1679" s="10"/>
      <c r="U1679" s="10"/>
      <c r="V1679" s="10"/>
      <c r="W1679" s="10"/>
      <c r="X1679" s="10"/>
      <c r="Y1679" s="10"/>
    </row>
    <row r="1680" spans="1:25" ht="16.5" customHeight="1" x14ac:dyDescent="0.2">
      <c r="A1680" s="184" t="str">
        <f>'Planilha orçamentária'!A116</f>
        <v>14.3</v>
      </c>
      <c r="B1680" s="343" t="str">
        <f>'Planilha orçamentária'!D116</f>
        <v>Eletroduto flexível corrugado, pvc, anti-chama, dn 25mm (3/4"), aplicado em alvenaria, inclusive rasgo</v>
      </c>
      <c r="C1680" s="344"/>
      <c r="D1680" s="344"/>
      <c r="E1680" s="344"/>
      <c r="F1680" s="344"/>
      <c r="G1680" s="344"/>
      <c r="H1680" s="344"/>
      <c r="I1680" s="344"/>
      <c r="J1680" s="344"/>
      <c r="K1680" s="10"/>
      <c r="L1680" s="10"/>
      <c r="M1680" s="10"/>
      <c r="N1680" s="10"/>
      <c r="O1680" s="10"/>
      <c r="P1680" s="10"/>
      <c r="Q1680" s="10"/>
      <c r="R1680" s="10"/>
      <c r="S1680" s="10"/>
      <c r="T1680" s="10"/>
      <c r="U1680" s="10"/>
      <c r="V1680" s="10"/>
      <c r="W1680" s="10"/>
      <c r="X1680" s="10"/>
      <c r="Y1680" s="10"/>
    </row>
    <row r="1681" spans="1:25" ht="16.5" customHeight="1" x14ac:dyDescent="0.2">
      <c r="A1681" s="327" t="s">
        <v>120</v>
      </c>
      <c r="B1681" s="328"/>
      <c r="C1681" s="328"/>
      <c r="D1681" s="182" t="s">
        <v>121</v>
      </c>
      <c r="E1681" s="182" t="s">
        <v>122</v>
      </c>
      <c r="F1681" s="181" t="s">
        <v>123</v>
      </c>
      <c r="G1681" s="181" t="s">
        <v>124</v>
      </c>
      <c r="H1681" s="181" t="s">
        <v>128</v>
      </c>
      <c r="I1681" s="182" t="s">
        <v>125</v>
      </c>
      <c r="J1681" s="182" t="s">
        <v>113</v>
      </c>
      <c r="K1681" s="10"/>
      <c r="L1681" s="10"/>
      <c r="M1681" s="10"/>
      <c r="N1681" s="10"/>
      <c r="O1681" s="10"/>
      <c r="P1681" s="10"/>
      <c r="Q1681" s="10"/>
      <c r="R1681" s="10"/>
      <c r="S1681" s="10"/>
      <c r="T1681" s="10"/>
      <c r="U1681" s="10"/>
      <c r="V1681" s="10"/>
      <c r="W1681" s="10"/>
      <c r="X1681" s="10"/>
      <c r="Y1681" s="10"/>
    </row>
    <row r="1682" spans="1:25" ht="16.5" customHeight="1" x14ac:dyDescent="0.2">
      <c r="A1682" s="318" t="s">
        <v>820</v>
      </c>
      <c r="B1682" s="319"/>
      <c r="C1682" s="332"/>
      <c r="D1682" s="148"/>
      <c r="E1682" s="148"/>
      <c r="F1682" s="148"/>
      <c r="G1682" s="148">
        <v>7000</v>
      </c>
      <c r="H1682" s="148"/>
      <c r="I1682" s="148"/>
      <c r="J1682" s="170">
        <f>PRODUCT(D1682:H1682)-I1682</f>
        <v>7000</v>
      </c>
      <c r="L1682" s="10"/>
      <c r="M1682" s="10"/>
      <c r="N1682" s="10"/>
      <c r="O1682" s="10"/>
      <c r="P1682" s="10"/>
      <c r="Q1682" s="10"/>
      <c r="R1682" s="10"/>
      <c r="S1682" s="10"/>
      <c r="T1682" s="10"/>
      <c r="U1682" s="10"/>
      <c r="V1682" s="10"/>
      <c r="W1682" s="10"/>
      <c r="X1682" s="10"/>
      <c r="Y1682" s="10"/>
    </row>
    <row r="1683" spans="1:25" ht="16.5" customHeight="1" x14ac:dyDescent="0.2">
      <c r="A1683" s="342" t="str">
        <f>"TOTAL - "&amp;'Planilha orçamentária'!F116</f>
        <v>TOTAL - M</v>
      </c>
      <c r="B1683" s="342"/>
      <c r="C1683" s="342"/>
      <c r="D1683" s="342"/>
      <c r="E1683" s="342"/>
      <c r="F1683" s="342"/>
      <c r="G1683" s="342"/>
      <c r="H1683" s="342"/>
      <c r="I1683" s="342"/>
      <c r="J1683" s="149">
        <f>SUM(J1682)</f>
        <v>7000</v>
      </c>
      <c r="K1683" s="10"/>
      <c r="L1683" s="10"/>
      <c r="M1683" s="10"/>
      <c r="N1683" s="10"/>
      <c r="O1683" s="10"/>
      <c r="P1683" s="10"/>
      <c r="Q1683" s="10"/>
      <c r="R1683" s="10"/>
      <c r="S1683" s="10"/>
      <c r="T1683" s="10"/>
      <c r="U1683" s="10"/>
      <c r="V1683" s="10"/>
      <c r="W1683" s="10"/>
      <c r="X1683" s="10"/>
      <c r="Y1683" s="10"/>
    </row>
    <row r="1684" spans="1:25" ht="16.5" customHeight="1" x14ac:dyDescent="0.2">
      <c r="A1684" s="184" t="str">
        <f>'Planilha orçamentária'!A117</f>
        <v>14.4</v>
      </c>
      <c r="B1684" s="343" t="str">
        <f>'Planilha orçamentária'!D117</f>
        <v>Cabo de cobre flexível isolado, 1,5 mm², anti-chama 0,6/1,0 kv, para circuitos terminais - fornecimento e instalação. Af_12/2015 - cor preto</v>
      </c>
      <c r="C1684" s="344"/>
      <c r="D1684" s="344"/>
      <c r="E1684" s="344"/>
      <c r="F1684" s="344"/>
      <c r="G1684" s="344"/>
      <c r="H1684" s="344"/>
      <c r="I1684" s="344"/>
      <c r="J1684" s="344"/>
      <c r="K1684" s="10"/>
      <c r="L1684" s="10"/>
      <c r="M1684" s="10"/>
      <c r="N1684" s="10"/>
      <c r="O1684" s="10"/>
      <c r="P1684" s="10"/>
      <c r="Q1684" s="10"/>
      <c r="R1684" s="10"/>
      <c r="S1684" s="10"/>
      <c r="T1684" s="10"/>
      <c r="U1684" s="10"/>
      <c r="V1684" s="10"/>
      <c r="W1684" s="10"/>
      <c r="X1684" s="10"/>
      <c r="Y1684" s="10"/>
    </row>
    <row r="1685" spans="1:25" ht="16.5" customHeight="1" x14ac:dyDescent="0.2">
      <c r="A1685" s="327" t="s">
        <v>120</v>
      </c>
      <c r="B1685" s="328"/>
      <c r="C1685" s="328"/>
      <c r="D1685" s="182" t="s">
        <v>121</v>
      </c>
      <c r="E1685" s="182" t="s">
        <v>122</v>
      </c>
      <c r="F1685" s="181" t="s">
        <v>123</v>
      </c>
      <c r="G1685" s="181" t="s">
        <v>124</v>
      </c>
      <c r="H1685" s="181" t="s">
        <v>128</v>
      </c>
      <c r="I1685" s="182" t="s">
        <v>125</v>
      </c>
      <c r="J1685" s="182" t="s">
        <v>113</v>
      </c>
      <c r="K1685" s="10"/>
      <c r="L1685" s="10"/>
      <c r="M1685" s="10"/>
      <c r="N1685" s="10"/>
      <c r="O1685" s="10"/>
      <c r="P1685" s="10"/>
      <c r="Q1685" s="10"/>
      <c r="R1685" s="10"/>
      <c r="S1685" s="10"/>
      <c r="T1685" s="10"/>
      <c r="U1685" s="10"/>
      <c r="V1685" s="10"/>
      <c r="W1685" s="10"/>
      <c r="X1685" s="10"/>
      <c r="Y1685" s="10"/>
    </row>
    <row r="1686" spans="1:25" ht="16.5" customHeight="1" x14ac:dyDescent="0.2">
      <c r="A1686" s="318" t="s">
        <v>888</v>
      </c>
      <c r="B1686" s="319"/>
      <c r="C1686" s="332"/>
      <c r="D1686" s="148"/>
      <c r="E1686" s="148"/>
      <c r="F1686" s="148"/>
      <c r="G1686" s="148">
        <v>1050</v>
      </c>
      <c r="H1686" s="148"/>
      <c r="I1686" s="148"/>
      <c r="J1686" s="170">
        <f>PRODUCT(D1686:H1686)-I1686</f>
        <v>1050</v>
      </c>
      <c r="L1686" s="10"/>
      <c r="M1686" s="10"/>
      <c r="N1686" s="10"/>
      <c r="O1686" s="10"/>
      <c r="P1686" s="10"/>
      <c r="Q1686" s="10"/>
      <c r="R1686" s="10"/>
      <c r="S1686" s="10"/>
      <c r="T1686" s="10"/>
      <c r="U1686" s="10"/>
      <c r="V1686" s="10"/>
      <c r="W1686" s="10"/>
      <c r="X1686" s="10"/>
      <c r="Y1686" s="10"/>
    </row>
    <row r="1687" spans="1:25" s="166" customFormat="1" ht="16.5" customHeight="1" x14ac:dyDescent="0.2">
      <c r="A1687" s="318" t="s">
        <v>889</v>
      </c>
      <c r="B1687" s="319"/>
      <c r="C1687" s="332"/>
      <c r="D1687" s="148"/>
      <c r="E1687" s="148"/>
      <c r="F1687" s="148"/>
      <c r="G1687" s="148">
        <v>2450</v>
      </c>
      <c r="H1687" s="148"/>
      <c r="I1687" s="148"/>
      <c r="J1687" s="170">
        <f t="shared" ref="J1687:J1688" si="98">PRODUCT(D1687:H1687)-I1687</f>
        <v>2450</v>
      </c>
      <c r="L1687" s="10"/>
      <c r="M1687" s="10"/>
      <c r="N1687" s="10"/>
      <c r="O1687" s="10"/>
      <c r="P1687" s="10"/>
      <c r="Q1687" s="10"/>
      <c r="R1687" s="10"/>
      <c r="S1687" s="10"/>
      <c r="T1687" s="10"/>
      <c r="U1687" s="10"/>
      <c r="V1687" s="10"/>
      <c r="W1687" s="10"/>
      <c r="X1687" s="10"/>
      <c r="Y1687" s="10"/>
    </row>
    <row r="1688" spans="1:25" s="166" customFormat="1" ht="16.5" customHeight="1" x14ac:dyDescent="0.2">
      <c r="A1688" s="318" t="s">
        <v>890</v>
      </c>
      <c r="B1688" s="319"/>
      <c r="C1688" s="332"/>
      <c r="D1688" s="148"/>
      <c r="E1688" s="148"/>
      <c r="F1688" s="148"/>
      <c r="G1688" s="148">
        <v>9800</v>
      </c>
      <c r="H1688" s="148"/>
      <c r="I1688" s="148"/>
      <c r="J1688" s="170">
        <f t="shared" si="98"/>
        <v>9800</v>
      </c>
      <c r="L1688" s="10"/>
      <c r="M1688" s="10"/>
      <c r="N1688" s="10"/>
      <c r="O1688" s="10"/>
      <c r="P1688" s="10"/>
      <c r="Q1688" s="10"/>
      <c r="R1688" s="10"/>
      <c r="S1688" s="10"/>
      <c r="T1688" s="10"/>
      <c r="U1688" s="10"/>
      <c r="V1688" s="10"/>
      <c r="W1688" s="10"/>
      <c r="X1688" s="10"/>
      <c r="Y1688" s="10"/>
    </row>
    <row r="1689" spans="1:25" ht="16.5" customHeight="1" x14ac:dyDescent="0.2">
      <c r="A1689" s="342" t="str">
        <f>"TOTAL - "&amp;'Planilha orçamentária'!F117</f>
        <v>TOTAL - M</v>
      </c>
      <c r="B1689" s="342"/>
      <c r="C1689" s="342"/>
      <c r="D1689" s="342"/>
      <c r="E1689" s="342"/>
      <c r="F1689" s="342"/>
      <c r="G1689" s="342"/>
      <c r="H1689" s="342"/>
      <c r="I1689" s="342"/>
      <c r="J1689" s="149">
        <f>SUM(J1686:J1688)</f>
        <v>13300</v>
      </c>
      <c r="K1689" s="10"/>
      <c r="L1689" s="10"/>
      <c r="M1689" s="10"/>
      <c r="N1689" s="10"/>
      <c r="O1689" s="10"/>
      <c r="P1689" s="10"/>
      <c r="Q1689" s="10"/>
      <c r="R1689" s="10"/>
      <c r="S1689" s="10"/>
      <c r="T1689" s="10"/>
      <c r="U1689" s="10"/>
      <c r="V1689" s="10"/>
      <c r="W1689" s="10"/>
      <c r="X1689" s="10"/>
      <c r="Y1689" s="10"/>
    </row>
    <row r="1690" spans="1:25" ht="16.5" customHeight="1" x14ac:dyDescent="0.2">
      <c r="A1690" s="184" t="str">
        <f>'Planilha orçamentária'!A118</f>
        <v>14.5</v>
      </c>
      <c r="B1690" s="343" t="str">
        <f>'Planilha orçamentária'!D118</f>
        <v>Cabo de cobre flexível isolado, 2,5 mm², anti-chama 0,6/1,0 kv, para circuitos terminais - fornecimento e instalação. Af_12/2015 - cor preto</v>
      </c>
      <c r="C1690" s="344"/>
      <c r="D1690" s="344"/>
      <c r="E1690" s="344"/>
      <c r="F1690" s="344"/>
      <c r="G1690" s="344"/>
      <c r="H1690" s="344"/>
      <c r="I1690" s="344"/>
      <c r="J1690" s="344"/>
      <c r="K1690" s="10"/>
      <c r="L1690" s="10"/>
      <c r="M1690" s="10"/>
      <c r="N1690" s="10"/>
      <c r="O1690" s="10"/>
      <c r="P1690" s="10"/>
      <c r="Q1690" s="10"/>
      <c r="R1690" s="10"/>
      <c r="S1690" s="10"/>
      <c r="T1690" s="10"/>
      <c r="U1690" s="10"/>
      <c r="V1690" s="10"/>
      <c r="W1690" s="10"/>
      <c r="X1690" s="10"/>
      <c r="Y1690" s="10"/>
    </row>
    <row r="1691" spans="1:25" ht="16.5" customHeight="1" x14ac:dyDescent="0.2">
      <c r="A1691" s="327" t="s">
        <v>120</v>
      </c>
      <c r="B1691" s="328"/>
      <c r="C1691" s="328"/>
      <c r="D1691" s="182" t="s">
        <v>121</v>
      </c>
      <c r="E1691" s="182" t="s">
        <v>122</v>
      </c>
      <c r="F1691" s="181" t="s">
        <v>123</v>
      </c>
      <c r="G1691" s="181" t="s">
        <v>124</v>
      </c>
      <c r="H1691" s="181" t="s">
        <v>128</v>
      </c>
      <c r="I1691" s="182" t="s">
        <v>125</v>
      </c>
      <c r="J1691" s="182" t="s">
        <v>113</v>
      </c>
      <c r="K1691" s="10"/>
      <c r="L1691" s="10"/>
      <c r="M1691" s="10"/>
      <c r="N1691" s="10"/>
      <c r="O1691" s="10"/>
      <c r="P1691" s="10"/>
      <c r="Q1691" s="10"/>
      <c r="R1691" s="10"/>
      <c r="S1691" s="10"/>
      <c r="T1691" s="10"/>
      <c r="U1691" s="10"/>
      <c r="V1691" s="10"/>
      <c r="W1691" s="10"/>
      <c r="X1691" s="10"/>
      <c r="Y1691" s="10"/>
    </row>
    <row r="1692" spans="1:25" ht="16.5" customHeight="1" x14ac:dyDescent="0.2">
      <c r="A1692" s="318" t="s">
        <v>888</v>
      </c>
      <c r="B1692" s="319"/>
      <c r="C1692" s="332"/>
      <c r="D1692" s="148"/>
      <c r="E1692" s="148"/>
      <c r="F1692" s="148"/>
      <c r="G1692" s="148">
        <v>10500</v>
      </c>
      <c r="H1692" s="148"/>
      <c r="I1692" s="148"/>
      <c r="J1692" s="170">
        <f>PRODUCT(D1692:H1692)-I1692</f>
        <v>10500</v>
      </c>
      <c r="L1692" s="10"/>
      <c r="M1692" s="10"/>
      <c r="N1692" s="10"/>
      <c r="O1692" s="10"/>
      <c r="P1692" s="10"/>
      <c r="Q1692" s="10"/>
      <c r="R1692" s="10"/>
      <c r="S1692" s="10"/>
      <c r="T1692" s="10"/>
      <c r="U1692" s="10"/>
      <c r="V1692" s="10"/>
      <c r="W1692" s="10"/>
      <c r="X1692" s="10"/>
      <c r="Y1692" s="10"/>
    </row>
    <row r="1693" spans="1:25" s="166" customFormat="1" ht="16.5" customHeight="1" x14ac:dyDescent="0.2">
      <c r="A1693" s="318" t="s">
        <v>889</v>
      </c>
      <c r="B1693" s="319"/>
      <c r="C1693" s="332"/>
      <c r="D1693" s="148"/>
      <c r="E1693" s="148"/>
      <c r="F1693" s="148"/>
      <c r="G1693" s="148">
        <v>10500</v>
      </c>
      <c r="H1693" s="148"/>
      <c r="I1693" s="148"/>
      <c r="J1693" s="170">
        <f t="shared" ref="J1693:J1694" si="99">PRODUCT(D1693:H1693)-I1693</f>
        <v>10500</v>
      </c>
      <c r="L1693" s="10"/>
      <c r="M1693" s="10"/>
      <c r="N1693" s="10"/>
      <c r="O1693" s="10"/>
      <c r="P1693" s="10"/>
      <c r="Q1693" s="10"/>
      <c r="R1693" s="10"/>
      <c r="S1693" s="10"/>
      <c r="T1693" s="10"/>
      <c r="U1693" s="10"/>
      <c r="V1693" s="10"/>
      <c r="W1693" s="10"/>
      <c r="X1693" s="10"/>
      <c r="Y1693" s="10"/>
    </row>
    <row r="1694" spans="1:25" s="166" customFormat="1" ht="16.5" customHeight="1" x14ac:dyDescent="0.2">
      <c r="A1694" s="318" t="s">
        <v>891</v>
      </c>
      <c r="B1694" s="319"/>
      <c r="C1694" s="332"/>
      <c r="D1694" s="148"/>
      <c r="E1694" s="148"/>
      <c r="F1694" s="148"/>
      <c r="G1694" s="148">
        <v>10500</v>
      </c>
      <c r="H1694" s="148"/>
      <c r="I1694" s="148"/>
      <c r="J1694" s="170">
        <f t="shared" si="99"/>
        <v>10500</v>
      </c>
      <c r="L1694" s="10"/>
      <c r="M1694" s="10"/>
      <c r="N1694" s="10"/>
      <c r="O1694" s="10"/>
      <c r="P1694" s="10"/>
      <c r="Q1694" s="10"/>
      <c r="R1694" s="10"/>
      <c r="S1694" s="10"/>
      <c r="T1694" s="10"/>
      <c r="U1694" s="10"/>
      <c r="V1694" s="10"/>
      <c r="W1694" s="10"/>
      <c r="X1694" s="10"/>
      <c r="Y1694" s="10"/>
    </row>
    <row r="1695" spans="1:25" ht="16.5" customHeight="1" x14ac:dyDescent="0.2">
      <c r="A1695" s="342" t="str">
        <f>"TOTAL - "&amp;'Planilha orçamentária'!F118</f>
        <v>TOTAL - M</v>
      </c>
      <c r="B1695" s="342"/>
      <c r="C1695" s="342"/>
      <c r="D1695" s="342"/>
      <c r="E1695" s="342"/>
      <c r="F1695" s="342"/>
      <c r="G1695" s="342"/>
      <c r="H1695" s="342"/>
      <c r="I1695" s="342"/>
      <c r="J1695" s="149">
        <f>SUM(J1692:J1694)</f>
        <v>31500</v>
      </c>
      <c r="K1695" s="10"/>
      <c r="L1695" s="10"/>
      <c r="M1695" s="10"/>
      <c r="N1695" s="10"/>
      <c r="O1695" s="10"/>
      <c r="P1695" s="10"/>
      <c r="Q1695" s="10"/>
      <c r="R1695" s="10"/>
      <c r="S1695" s="10"/>
      <c r="T1695" s="10"/>
      <c r="U1695" s="10"/>
      <c r="V1695" s="10"/>
      <c r="W1695" s="10"/>
      <c r="X1695" s="10"/>
      <c r="Y1695" s="10"/>
    </row>
    <row r="1696" spans="1:25" ht="25.5" customHeight="1" x14ac:dyDescent="0.2">
      <c r="A1696" s="184" t="str">
        <f>'Planilha orçamentária'!A119</f>
        <v>14.6</v>
      </c>
      <c r="B1696" s="343" t="str">
        <f>'Planilha orçamentária'!D119</f>
        <v>Conjunto de uma (1) tomada padrão, três (3) polos, corrente 20a, tensão 250v, (2p+t/20a-250v), com placa 4"x2" de um (1) posto, inclusive fornecimento, instalação, suporte, módulo e placa</v>
      </c>
      <c r="C1696" s="344"/>
      <c r="D1696" s="344"/>
      <c r="E1696" s="344"/>
      <c r="F1696" s="344"/>
      <c r="G1696" s="344"/>
      <c r="H1696" s="344"/>
      <c r="I1696" s="344"/>
      <c r="J1696" s="344"/>
      <c r="K1696" s="10"/>
      <c r="L1696" s="10"/>
      <c r="M1696" s="10"/>
      <c r="N1696" s="10"/>
      <c r="O1696" s="10"/>
      <c r="P1696" s="10"/>
      <c r="Q1696" s="10"/>
      <c r="R1696" s="10"/>
      <c r="S1696" s="10"/>
      <c r="T1696" s="10"/>
      <c r="U1696" s="10"/>
      <c r="V1696" s="10"/>
      <c r="W1696" s="10"/>
      <c r="X1696" s="10"/>
      <c r="Y1696" s="10"/>
    </row>
    <row r="1697" spans="1:25" ht="16.5" customHeight="1" x14ac:dyDescent="0.2">
      <c r="A1697" s="327" t="s">
        <v>120</v>
      </c>
      <c r="B1697" s="328"/>
      <c r="C1697" s="328"/>
      <c r="D1697" s="208" t="s">
        <v>121</v>
      </c>
      <c r="E1697" s="208" t="s">
        <v>122</v>
      </c>
      <c r="F1697" s="209" t="s">
        <v>123</v>
      </c>
      <c r="G1697" s="209" t="s">
        <v>124</v>
      </c>
      <c r="H1697" s="209" t="s">
        <v>128</v>
      </c>
      <c r="I1697" s="208" t="s">
        <v>125</v>
      </c>
      <c r="J1697" s="208" t="s">
        <v>113</v>
      </c>
      <c r="K1697" s="10"/>
      <c r="L1697" s="10"/>
      <c r="M1697" s="10"/>
      <c r="N1697" s="10"/>
      <c r="O1697" s="10"/>
      <c r="P1697" s="10"/>
      <c r="Q1697" s="10"/>
      <c r="R1697" s="10"/>
      <c r="S1697" s="10"/>
      <c r="T1697" s="10"/>
      <c r="U1697" s="10"/>
      <c r="V1697" s="10"/>
      <c r="W1697" s="10"/>
      <c r="X1697" s="10"/>
      <c r="Y1697" s="10"/>
    </row>
    <row r="1698" spans="1:25" ht="16.5" customHeight="1" x14ac:dyDescent="0.2">
      <c r="A1698" s="318" t="s">
        <v>871</v>
      </c>
      <c r="B1698" s="319"/>
      <c r="C1698" s="332"/>
      <c r="D1698" s="148"/>
      <c r="E1698" s="148"/>
      <c r="F1698" s="148"/>
      <c r="G1698" s="148">
        <v>112</v>
      </c>
      <c r="H1698" s="148"/>
      <c r="I1698" s="148"/>
      <c r="J1698" s="170">
        <f>PRODUCT(D1698:H1698)-I1698</f>
        <v>112</v>
      </c>
      <c r="L1698" s="10"/>
      <c r="M1698" s="10"/>
      <c r="N1698" s="10"/>
      <c r="O1698" s="10"/>
      <c r="P1698" s="10"/>
      <c r="Q1698" s="10"/>
      <c r="R1698" s="10"/>
      <c r="S1698" s="10"/>
      <c r="T1698" s="10"/>
      <c r="U1698" s="10"/>
      <c r="V1698" s="10"/>
      <c r="W1698" s="10"/>
      <c r="X1698" s="10"/>
      <c r="Y1698" s="10"/>
    </row>
    <row r="1699" spans="1:25" ht="16.5" customHeight="1" x14ac:dyDescent="0.2">
      <c r="A1699" s="342" t="str">
        <f>"TOTAL - "&amp;'Planilha orçamentária'!F119</f>
        <v>TOTAL - UN</v>
      </c>
      <c r="B1699" s="342"/>
      <c r="C1699" s="342"/>
      <c r="D1699" s="342"/>
      <c r="E1699" s="342"/>
      <c r="F1699" s="342"/>
      <c r="G1699" s="342"/>
      <c r="H1699" s="342"/>
      <c r="I1699" s="342"/>
      <c r="J1699" s="149">
        <f>SUM(J1698)</f>
        <v>112</v>
      </c>
      <c r="K1699" s="10"/>
      <c r="L1699" s="10"/>
      <c r="M1699" s="10"/>
      <c r="N1699" s="10"/>
      <c r="O1699" s="10"/>
      <c r="P1699" s="10"/>
      <c r="Q1699" s="10"/>
      <c r="R1699" s="10"/>
      <c r="S1699" s="10"/>
      <c r="T1699" s="10"/>
      <c r="U1699" s="10"/>
      <c r="V1699" s="10"/>
      <c r="W1699" s="10"/>
      <c r="X1699" s="10"/>
      <c r="Y1699" s="10"/>
    </row>
    <row r="1700" spans="1:25" ht="25.5" customHeight="1" x14ac:dyDescent="0.2">
      <c r="A1700" s="184" t="str">
        <f>'Planilha orçamentária'!A120</f>
        <v>14.7</v>
      </c>
      <c r="B1700" s="343" t="str">
        <f>'Planilha orçamentária'!D120</f>
        <v>Conjunto de uma (1) tomada padrão, três (3) polos, corrente 10a, tensão 250v, (2p+t/10a-250v), com placa 4"x2" de um (1) posto, inclusive fornecimento, instalação, suporte, módulo e placa</v>
      </c>
      <c r="C1700" s="344"/>
      <c r="D1700" s="344"/>
      <c r="E1700" s="344"/>
      <c r="F1700" s="344"/>
      <c r="G1700" s="344"/>
      <c r="H1700" s="344"/>
      <c r="I1700" s="344"/>
      <c r="J1700" s="344"/>
      <c r="K1700" s="10"/>
      <c r="L1700" s="10"/>
      <c r="M1700" s="10"/>
      <c r="N1700" s="10"/>
      <c r="O1700" s="10"/>
      <c r="P1700" s="10"/>
      <c r="Q1700" s="10"/>
      <c r="R1700" s="10"/>
      <c r="S1700" s="10"/>
      <c r="T1700" s="10"/>
      <c r="U1700" s="10"/>
      <c r="V1700" s="10"/>
      <c r="W1700" s="10"/>
      <c r="X1700" s="10"/>
      <c r="Y1700" s="10"/>
    </row>
    <row r="1701" spans="1:25" ht="16.5" customHeight="1" x14ac:dyDescent="0.2">
      <c r="A1701" s="327" t="s">
        <v>120</v>
      </c>
      <c r="B1701" s="328"/>
      <c r="C1701" s="328"/>
      <c r="D1701" s="208" t="s">
        <v>121</v>
      </c>
      <c r="E1701" s="208" t="s">
        <v>122</v>
      </c>
      <c r="F1701" s="209" t="s">
        <v>123</v>
      </c>
      <c r="G1701" s="209" t="s">
        <v>124</v>
      </c>
      <c r="H1701" s="209" t="s">
        <v>128</v>
      </c>
      <c r="I1701" s="208" t="s">
        <v>125</v>
      </c>
      <c r="J1701" s="208" t="s">
        <v>113</v>
      </c>
      <c r="K1701" s="10"/>
      <c r="L1701" s="10"/>
      <c r="M1701" s="10"/>
      <c r="N1701" s="10"/>
      <c r="O1701" s="10"/>
      <c r="P1701" s="10"/>
      <c r="Q1701" s="10"/>
      <c r="R1701" s="10"/>
      <c r="S1701" s="10"/>
      <c r="T1701" s="10"/>
      <c r="U1701" s="10"/>
      <c r="V1701" s="10"/>
      <c r="W1701" s="10"/>
      <c r="X1701" s="10"/>
      <c r="Y1701" s="10"/>
    </row>
    <row r="1702" spans="1:25" ht="16.5" customHeight="1" x14ac:dyDescent="0.2">
      <c r="A1702" s="318" t="s">
        <v>872</v>
      </c>
      <c r="B1702" s="319"/>
      <c r="C1702" s="332"/>
      <c r="D1702" s="148"/>
      <c r="E1702" s="148"/>
      <c r="F1702" s="148"/>
      <c r="G1702" s="148">
        <f>4*16*7</f>
        <v>448</v>
      </c>
      <c r="H1702" s="148"/>
      <c r="I1702" s="148"/>
      <c r="J1702" s="170">
        <f>PRODUCT(D1702:H1702)-I1702</f>
        <v>448</v>
      </c>
      <c r="L1702" s="10"/>
      <c r="M1702" s="10"/>
      <c r="N1702" s="10"/>
      <c r="O1702" s="10"/>
      <c r="P1702" s="10"/>
      <c r="Q1702" s="10"/>
      <c r="R1702" s="10"/>
      <c r="S1702" s="10"/>
      <c r="T1702" s="10"/>
      <c r="U1702" s="10"/>
      <c r="V1702" s="10"/>
      <c r="W1702" s="10"/>
      <c r="X1702" s="10"/>
      <c r="Y1702" s="10"/>
    </row>
    <row r="1703" spans="1:25" s="166" customFormat="1" ht="16.5" customHeight="1" x14ac:dyDescent="0.2">
      <c r="A1703" s="318" t="s">
        <v>873</v>
      </c>
      <c r="B1703" s="319"/>
      <c r="C1703" s="332"/>
      <c r="D1703" s="148"/>
      <c r="E1703" s="148"/>
      <c r="F1703" s="148"/>
      <c r="G1703" s="148">
        <f>4*16*7</f>
        <v>448</v>
      </c>
      <c r="H1703" s="148"/>
      <c r="I1703" s="148"/>
      <c r="J1703" s="170">
        <f t="shared" ref="J1703:J1706" si="100">PRODUCT(D1703:H1703)-I1703</f>
        <v>448</v>
      </c>
      <c r="L1703" s="10"/>
      <c r="M1703" s="10"/>
      <c r="N1703" s="10"/>
      <c r="O1703" s="10"/>
      <c r="P1703" s="10"/>
      <c r="Q1703" s="10"/>
      <c r="R1703" s="10"/>
      <c r="S1703" s="10"/>
      <c r="T1703" s="10"/>
      <c r="U1703" s="10"/>
      <c r="V1703" s="10"/>
      <c r="W1703" s="10"/>
      <c r="X1703" s="10"/>
      <c r="Y1703" s="10"/>
    </row>
    <row r="1704" spans="1:25" s="166" customFormat="1" ht="16.5" customHeight="1" x14ac:dyDescent="0.2">
      <c r="A1704" s="318" t="s">
        <v>874</v>
      </c>
      <c r="B1704" s="319"/>
      <c r="C1704" s="332"/>
      <c r="D1704" s="148"/>
      <c r="E1704" s="148"/>
      <c r="F1704" s="148"/>
      <c r="G1704" s="148">
        <f>5*16*7</f>
        <v>560</v>
      </c>
      <c r="H1704" s="148"/>
      <c r="I1704" s="148"/>
      <c r="J1704" s="170">
        <f t="shared" si="100"/>
        <v>560</v>
      </c>
      <c r="L1704" s="10"/>
      <c r="M1704" s="10"/>
      <c r="N1704" s="10"/>
      <c r="O1704" s="10"/>
      <c r="P1704" s="10"/>
      <c r="Q1704" s="10"/>
      <c r="R1704" s="10"/>
      <c r="S1704" s="10"/>
      <c r="T1704" s="10"/>
      <c r="U1704" s="10"/>
      <c r="V1704" s="10"/>
      <c r="W1704" s="10"/>
      <c r="X1704" s="10"/>
      <c r="Y1704" s="10"/>
    </row>
    <row r="1705" spans="1:25" s="166" customFormat="1" ht="16.5" customHeight="1" x14ac:dyDescent="0.2">
      <c r="A1705" s="318" t="s">
        <v>875</v>
      </c>
      <c r="B1705" s="319"/>
      <c r="C1705" s="332"/>
      <c r="D1705" s="148"/>
      <c r="E1705" s="148"/>
      <c r="F1705" s="148"/>
      <c r="G1705" s="148">
        <f>4*16*7</f>
        <v>448</v>
      </c>
      <c r="H1705" s="148"/>
      <c r="I1705" s="148"/>
      <c r="J1705" s="170">
        <f t="shared" si="100"/>
        <v>448</v>
      </c>
      <c r="L1705" s="10"/>
      <c r="M1705" s="10"/>
      <c r="N1705" s="10"/>
      <c r="O1705" s="10"/>
      <c r="P1705" s="10"/>
      <c r="Q1705" s="10"/>
      <c r="R1705" s="10"/>
      <c r="S1705" s="10"/>
      <c r="T1705" s="10"/>
      <c r="U1705" s="10"/>
      <c r="V1705" s="10"/>
      <c r="W1705" s="10"/>
      <c r="X1705" s="10"/>
      <c r="Y1705" s="10"/>
    </row>
    <row r="1706" spans="1:25" s="166" customFormat="1" ht="16.5" customHeight="1" x14ac:dyDescent="0.2">
      <c r="A1706" s="318" t="s">
        <v>876</v>
      </c>
      <c r="B1706" s="319"/>
      <c r="C1706" s="332"/>
      <c r="D1706" s="148"/>
      <c r="E1706" s="148"/>
      <c r="F1706" s="148"/>
      <c r="G1706" s="148">
        <f>2*16*7</f>
        <v>224</v>
      </c>
      <c r="H1706" s="148"/>
      <c r="I1706" s="148"/>
      <c r="J1706" s="170">
        <f t="shared" si="100"/>
        <v>224</v>
      </c>
      <c r="L1706" s="10"/>
      <c r="M1706" s="10"/>
      <c r="N1706" s="10"/>
      <c r="O1706" s="10"/>
      <c r="P1706" s="10"/>
      <c r="Q1706" s="10"/>
      <c r="R1706" s="10"/>
      <c r="S1706" s="10"/>
      <c r="T1706" s="10"/>
      <c r="U1706" s="10"/>
      <c r="V1706" s="10"/>
      <c r="W1706" s="10"/>
      <c r="X1706" s="10"/>
      <c r="Y1706" s="10"/>
    </row>
    <row r="1707" spans="1:25" s="166" customFormat="1" ht="16.5" customHeight="1" x14ac:dyDescent="0.2">
      <c r="A1707" s="318" t="s">
        <v>877</v>
      </c>
      <c r="B1707" s="319"/>
      <c r="C1707" s="332"/>
      <c r="D1707" s="148"/>
      <c r="E1707" s="148"/>
      <c r="F1707" s="148"/>
      <c r="G1707" s="148">
        <f>13*7</f>
        <v>91</v>
      </c>
      <c r="H1707" s="148"/>
      <c r="I1707" s="148"/>
      <c r="J1707" s="170">
        <f>PRODUCT(D1707:H1707)-I1707</f>
        <v>91</v>
      </c>
      <c r="L1707" s="10"/>
      <c r="M1707" s="10"/>
      <c r="N1707" s="10"/>
      <c r="O1707" s="10"/>
      <c r="P1707" s="10"/>
      <c r="Q1707" s="10"/>
      <c r="R1707" s="10"/>
      <c r="S1707" s="10"/>
      <c r="T1707" s="10"/>
      <c r="U1707" s="10"/>
      <c r="V1707" s="10"/>
      <c r="W1707" s="10"/>
      <c r="X1707" s="10"/>
      <c r="Y1707" s="10"/>
    </row>
    <row r="1708" spans="1:25" ht="16.5" customHeight="1" x14ac:dyDescent="0.2">
      <c r="A1708" s="342" t="str">
        <f>"TOTAL - "&amp;'Planilha orçamentária'!F120</f>
        <v>TOTAL - UN</v>
      </c>
      <c r="B1708" s="342"/>
      <c r="C1708" s="342"/>
      <c r="D1708" s="342"/>
      <c r="E1708" s="342"/>
      <c r="F1708" s="342"/>
      <c r="G1708" s="342"/>
      <c r="H1708" s="342"/>
      <c r="I1708" s="342"/>
      <c r="J1708" s="149">
        <f>SUM(J1702:J1707)</f>
        <v>2219</v>
      </c>
      <c r="K1708" s="10"/>
      <c r="L1708" s="10"/>
      <c r="M1708" s="10"/>
      <c r="N1708" s="10"/>
      <c r="O1708" s="10"/>
      <c r="P1708" s="10"/>
      <c r="Q1708" s="10"/>
      <c r="R1708" s="10"/>
      <c r="S1708" s="10"/>
      <c r="T1708" s="10"/>
      <c r="U1708" s="10"/>
      <c r="V1708" s="10"/>
      <c r="W1708" s="10"/>
      <c r="X1708" s="10"/>
      <c r="Y1708" s="10"/>
    </row>
    <row r="1709" spans="1:25" ht="25.5" customHeight="1" x14ac:dyDescent="0.2">
      <c r="A1709" s="184" t="str">
        <f>'Planilha orçamentária'!A121</f>
        <v>14.8</v>
      </c>
      <c r="B1709" s="343" t="str">
        <f>'Planilha orçamentária'!D121</f>
        <v>Conjunto de um (1) interruptor simples, corrente 10a, tensão 250v, (10a-250v) e um (1) interruptor paralelo, corrente 10a, tensão 250v, (10a-250v), com placa 4"x2" de dois (2) postos, inclusive fornecimento, instalação, suporte, módulo e placa</v>
      </c>
      <c r="C1709" s="344"/>
      <c r="D1709" s="344"/>
      <c r="E1709" s="344"/>
      <c r="F1709" s="344"/>
      <c r="G1709" s="344"/>
      <c r="H1709" s="344"/>
      <c r="I1709" s="344"/>
      <c r="J1709" s="344"/>
      <c r="K1709" s="10"/>
      <c r="L1709" s="10"/>
      <c r="M1709" s="10"/>
      <c r="N1709" s="10"/>
      <c r="O1709" s="10"/>
      <c r="P1709" s="10"/>
      <c r="Q1709" s="10"/>
      <c r="R1709" s="10"/>
      <c r="S1709" s="10"/>
      <c r="T1709" s="10"/>
      <c r="U1709" s="10"/>
      <c r="V1709" s="10"/>
      <c r="W1709" s="10"/>
      <c r="X1709" s="10"/>
      <c r="Y1709" s="10"/>
    </row>
    <row r="1710" spans="1:25" ht="16.5" customHeight="1" x14ac:dyDescent="0.2">
      <c r="A1710" s="327" t="s">
        <v>120</v>
      </c>
      <c r="B1710" s="328"/>
      <c r="C1710" s="328"/>
      <c r="D1710" s="182" t="s">
        <v>121</v>
      </c>
      <c r="E1710" s="182" t="s">
        <v>122</v>
      </c>
      <c r="F1710" s="181" t="s">
        <v>123</v>
      </c>
      <c r="G1710" s="181" t="s">
        <v>124</v>
      </c>
      <c r="H1710" s="181" t="s">
        <v>128</v>
      </c>
      <c r="I1710" s="182" t="s">
        <v>125</v>
      </c>
      <c r="J1710" s="182" t="s">
        <v>113</v>
      </c>
      <c r="K1710" s="10"/>
      <c r="L1710" s="10"/>
      <c r="M1710" s="10"/>
      <c r="N1710" s="10"/>
      <c r="O1710" s="10"/>
      <c r="P1710" s="10"/>
      <c r="Q1710" s="10"/>
      <c r="R1710" s="10"/>
      <c r="S1710" s="10"/>
      <c r="T1710" s="10"/>
      <c r="U1710" s="10"/>
      <c r="V1710" s="10"/>
      <c r="W1710" s="10"/>
      <c r="X1710" s="10"/>
      <c r="Y1710" s="10"/>
    </row>
    <row r="1711" spans="1:25" s="166" customFormat="1" ht="16.5" customHeight="1" x14ac:dyDescent="0.2">
      <c r="A1711" s="318" t="s">
        <v>858</v>
      </c>
      <c r="B1711" s="319"/>
      <c r="C1711" s="332"/>
      <c r="D1711" s="148"/>
      <c r="E1711" s="148"/>
      <c r="F1711" s="148"/>
      <c r="G1711" s="148">
        <f>1*16*7</f>
        <v>112</v>
      </c>
      <c r="H1711" s="148"/>
      <c r="I1711" s="148"/>
      <c r="J1711" s="170">
        <f t="shared" ref="J1711:J1712" si="101">PRODUCT(D1711:H1711)-I1711</f>
        <v>112</v>
      </c>
      <c r="L1711" s="10"/>
      <c r="M1711" s="10"/>
      <c r="N1711" s="10"/>
      <c r="O1711" s="10"/>
      <c r="P1711" s="10"/>
      <c r="Q1711" s="10"/>
      <c r="R1711" s="10"/>
      <c r="S1711" s="10"/>
      <c r="T1711" s="10"/>
      <c r="U1711" s="10"/>
      <c r="V1711" s="10"/>
      <c r="W1711" s="10"/>
      <c r="X1711" s="10"/>
      <c r="Y1711" s="10"/>
    </row>
    <row r="1712" spans="1:25" s="166" customFormat="1" ht="16.5" customHeight="1" x14ac:dyDescent="0.2">
      <c r="A1712" s="318" t="s">
        <v>859</v>
      </c>
      <c r="B1712" s="319"/>
      <c r="C1712" s="332"/>
      <c r="D1712" s="148"/>
      <c r="E1712" s="148"/>
      <c r="F1712" s="148"/>
      <c r="G1712" s="148">
        <f>1*16*7</f>
        <v>112</v>
      </c>
      <c r="H1712" s="148"/>
      <c r="I1712" s="148"/>
      <c r="J1712" s="170">
        <f t="shared" si="101"/>
        <v>112</v>
      </c>
      <c r="L1712" s="10"/>
      <c r="M1712" s="10"/>
      <c r="N1712" s="10"/>
      <c r="O1712" s="10"/>
      <c r="P1712" s="10"/>
      <c r="Q1712" s="10"/>
      <c r="R1712" s="10"/>
      <c r="S1712" s="10"/>
      <c r="T1712" s="10"/>
      <c r="U1712" s="10"/>
      <c r="V1712" s="10"/>
      <c r="W1712" s="10"/>
      <c r="X1712" s="10"/>
      <c r="Y1712" s="10"/>
    </row>
    <row r="1713" spans="1:25" ht="16.5" customHeight="1" x14ac:dyDescent="0.2">
      <c r="A1713" s="342" t="str">
        <f>"TOTAL - "&amp;'Planilha orçamentária'!F121</f>
        <v>TOTAL - UN</v>
      </c>
      <c r="B1713" s="342"/>
      <c r="C1713" s="342"/>
      <c r="D1713" s="342"/>
      <c r="E1713" s="342"/>
      <c r="F1713" s="342"/>
      <c r="G1713" s="342"/>
      <c r="H1713" s="342"/>
      <c r="I1713" s="342"/>
      <c r="J1713" s="149">
        <f>SUM(J1711:J1712)</f>
        <v>224</v>
      </c>
      <c r="K1713" s="10"/>
      <c r="L1713" s="10"/>
      <c r="M1713" s="10"/>
      <c r="N1713" s="10"/>
      <c r="O1713" s="10"/>
      <c r="P1713" s="10"/>
      <c r="Q1713" s="10"/>
      <c r="R1713" s="10"/>
      <c r="S1713" s="10"/>
      <c r="T1713" s="10"/>
      <c r="U1713" s="10"/>
      <c r="V1713" s="10"/>
      <c r="W1713" s="10"/>
      <c r="X1713" s="10"/>
      <c r="Y1713" s="10"/>
    </row>
    <row r="1714" spans="1:25" ht="25.5" customHeight="1" x14ac:dyDescent="0.2">
      <c r="A1714" s="184" t="str">
        <f>'Planilha orçamentária'!A122</f>
        <v>14.9</v>
      </c>
      <c r="B1714" s="343" t="str">
        <f>'Planilha orçamentária'!D122</f>
        <v>Conjunto de um (1) interruptor paralelo, corrente 10a, tensão 250v, (10a-250v), com placa 4"x2" de um (1) posto, inclusive fornecimento, instalação, suporte, módulo e placa</v>
      </c>
      <c r="C1714" s="344"/>
      <c r="D1714" s="344"/>
      <c r="E1714" s="344"/>
      <c r="F1714" s="344"/>
      <c r="G1714" s="344"/>
      <c r="H1714" s="344"/>
      <c r="I1714" s="344"/>
      <c r="J1714" s="344"/>
      <c r="K1714" s="10"/>
      <c r="L1714" s="10"/>
      <c r="M1714" s="10"/>
      <c r="N1714" s="10"/>
      <c r="O1714" s="10"/>
      <c r="P1714" s="10"/>
      <c r="Q1714" s="10"/>
      <c r="R1714" s="10"/>
      <c r="S1714" s="10"/>
      <c r="T1714" s="10"/>
      <c r="U1714" s="10"/>
      <c r="V1714" s="10"/>
      <c r="W1714" s="10"/>
      <c r="X1714" s="10"/>
      <c r="Y1714" s="10"/>
    </row>
    <row r="1715" spans="1:25" ht="16.5" customHeight="1" x14ac:dyDescent="0.2">
      <c r="A1715" s="327" t="s">
        <v>120</v>
      </c>
      <c r="B1715" s="328"/>
      <c r="C1715" s="328"/>
      <c r="D1715" s="182" t="s">
        <v>121</v>
      </c>
      <c r="E1715" s="182" t="s">
        <v>122</v>
      </c>
      <c r="F1715" s="181" t="s">
        <v>123</v>
      </c>
      <c r="G1715" s="181" t="s">
        <v>124</v>
      </c>
      <c r="H1715" s="181" t="s">
        <v>128</v>
      </c>
      <c r="I1715" s="182" t="s">
        <v>125</v>
      </c>
      <c r="J1715" s="182" t="s">
        <v>113</v>
      </c>
      <c r="K1715" s="10"/>
      <c r="L1715" s="10"/>
      <c r="M1715" s="10"/>
      <c r="N1715" s="10"/>
      <c r="O1715" s="10"/>
      <c r="P1715" s="10"/>
      <c r="Q1715" s="10"/>
      <c r="R1715" s="10"/>
      <c r="S1715" s="10"/>
      <c r="T1715" s="10"/>
      <c r="U1715" s="10"/>
      <c r="V1715" s="10"/>
      <c r="W1715" s="10"/>
      <c r="X1715" s="10"/>
      <c r="Y1715" s="10"/>
    </row>
    <row r="1716" spans="1:25" s="166" customFormat="1" ht="16.5" customHeight="1" x14ac:dyDescent="0.2">
      <c r="A1716" s="318" t="s">
        <v>860</v>
      </c>
      <c r="B1716" s="319"/>
      <c r="C1716" s="332"/>
      <c r="D1716" s="148"/>
      <c r="E1716" s="148"/>
      <c r="F1716" s="148"/>
      <c r="G1716" s="148">
        <f>2*16*7</f>
        <v>224</v>
      </c>
      <c r="H1716" s="148"/>
      <c r="I1716" s="148"/>
      <c r="J1716" s="170">
        <f t="shared" ref="J1716:J1717" si="102">PRODUCT(D1716:H1716)-I1716</f>
        <v>224</v>
      </c>
      <c r="L1716" s="10"/>
      <c r="M1716" s="10"/>
      <c r="N1716" s="10"/>
      <c r="O1716" s="10"/>
      <c r="P1716" s="10"/>
      <c r="Q1716" s="10"/>
      <c r="R1716" s="10"/>
      <c r="S1716" s="10"/>
      <c r="T1716" s="10"/>
      <c r="U1716" s="10"/>
      <c r="V1716" s="10"/>
      <c r="W1716" s="10"/>
      <c r="X1716" s="10"/>
      <c r="Y1716" s="10"/>
    </row>
    <row r="1717" spans="1:25" s="166" customFormat="1" ht="16.5" customHeight="1" x14ac:dyDescent="0.2">
      <c r="A1717" s="318" t="s">
        <v>861</v>
      </c>
      <c r="B1717" s="319"/>
      <c r="C1717" s="332"/>
      <c r="D1717" s="148"/>
      <c r="E1717" s="148"/>
      <c r="F1717" s="148"/>
      <c r="G1717" s="148">
        <f>2*16*7</f>
        <v>224</v>
      </c>
      <c r="H1717" s="148"/>
      <c r="I1717" s="148"/>
      <c r="J1717" s="170">
        <f t="shared" si="102"/>
        <v>224</v>
      </c>
      <c r="L1717" s="10"/>
      <c r="M1717" s="10"/>
      <c r="N1717" s="10"/>
      <c r="O1717" s="10"/>
      <c r="P1717" s="10"/>
      <c r="Q1717" s="10"/>
      <c r="R1717" s="10"/>
      <c r="S1717" s="10"/>
      <c r="T1717" s="10"/>
      <c r="U1717" s="10"/>
      <c r="V1717" s="10"/>
      <c r="W1717" s="10"/>
      <c r="X1717" s="10"/>
      <c r="Y1717" s="10"/>
    </row>
    <row r="1718" spans="1:25" ht="16.5" customHeight="1" x14ac:dyDescent="0.2">
      <c r="A1718" s="342" t="str">
        <f>"TOTAL - "&amp;'Planilha orçamentária'!F122</f>
        <v>TOTAL - UN</v>
      </c>
      <c r="B1718" s="342"/>
      <c r="C1718" s="342"/>
      <c r="D1718" s="342"/>
      <c r="E1718" s="342"/>
      <c r="F1718" s="342"/>
      <c r="G1718" s="342"/>
      <c r="H1718" s="342"/>
      <c r="I1718" s="342"/>
      <c r="J1718" s="149">
        <f>SUM(J1716:J1717)</f>
        <v>448</v>
      </c>
      <c r="K1718" s="10"/>
      <c r="L1718" s="10"/>
      <c r="M1718" s="10"/>
      <c r="N1718" s="10"/>
      <c r="O1718" s="10"/>
      <c r="P1718" s="10"/>
      <c r="Q1718" s="10"/>
      <c r="R1718" s="10"/>
      <c r="S1718" s="10"/>
      <c r="T1718" s="10"/>
      <c r="U1718" s="10"/>
      <c r="V1718" s="10"/>
      <c r="W1718" s="10"/>
      <c r="X1718" s="10"/>
      <c r="Y1718" s="10"/>
    </row>
    <row r="1719" spans="1:25" ht="25.5" customHeight="1" x14ac:dyDescent="0.2">
      <c r="A1719" s="184" t="str">
        <f>'Planilha orçamentária'!A123</f>
        <v>14.10</v>
      </c>
      <c r="B1719" s="343" t="str">
        <f>'Planilha orçamentária'!D123</f>
        <v>Conjunto de um (1) interruptor simples, corrente 10a, tensão 250v, (10a-250v), com placa 4"x2" de um (1) posto, inclusive fornecimento, instalação, suporte, módulo e placa</v>
      </c>
      <c r="C1719" s="344"/>
      <c r="D1719" s="344"/>
      <c r="E1719" s="344"/>
      <c r="F1719" s="344"/>
      <c r="G1719" s="344"/>
      <c r="H1719" s="344"/>
      <c r="I1719" s="344"/>
      <c r="J1719" s="344"/>
      <c r="K1719" s="10"/>
      <c r="L1719" s="10"/>
      <c r="M1719" s="10"/>
      <c r="N1719" s="10"/>
      <c r="O1719" s="10"/>
      <c r="P1719" s="10"/>
      <c r="Q1719" s="10"/>
      <c r="R1719" s="10"/>
      <c r="S1719" s="10"/>
      <c r="T1719" s="10"/>
      <c r="U1719" s="10"/>
      <c r="V1719" s="10"/>
      <c r="W1719" s="10"/>
      <c r="X1719" s="10"/>
      <c r="Y1719" s="10"/>
    </row>
    <row r="1720" spans="1:25" ht="16.5" customHeight="1" x14ac:dyDescent="0.2">
      <c r="A1720" s="333" t="s">
        <v>120</v>
      </c>
      <c r="B1720" s="334"/>
      <c r="C1720" s="335"/>
      <c r="D1720" s="182" t="s">
        <v>121</v>
      </c>
      <c r="E1720" s="182" t="s">
        <v>122</v>
      </c>
      <c r="F1720" s="181" t="s">
        <v>123</v>
      </c>
      <c r="G1720" s="181" t="s">
        <v>124</v>
      </c>
      <c r="H1720" s="181" t="s">
        <v>128</v>
      </c>
      <c r="I1720" s="182" t="s">
        <v>125</v>
      </c>
      <c r="J1720" s="182" t="s">
        <v>113</v>
      </c>
      <c r="K1720" s="10"/>
      <c r="L1720" s="10"/>
      <c r="M1720" s="10"/>
      <c r="N1720" s="10"/>
      <c r="O1720" s="10"/>
      <c r="P1720" s="10"/>
      <c r="Q1720" s="10"/>
      <c r="R1720" s="10"/>
      <c r="S1720" s="10"/>
      <c r="T1720" s="10"/>
      <c r="U1720" s="10"/>
      <c r="V1720" s="10"/>
      <c r="W1720" s="10"/>
      <c r="X1720" s="10"/>
      <c r="Y1720" s="10"/>
    </row>
    <row r="1721" spans="1:25" ht="16.5" customHeight="1" x14ac:dyDescent="0.2">
      <c r="A1721" s="318" t="s">
        <v>865</v>
      </c>
      <c r="B1721" s="319"/>
      <c r="C1721" s="332"/>
      <c r="D1721" s="148"/>
      <c r="E1721" s="148"/>
      <c r="F1721" s="148"/>
      <c r="G1721" s="148">
        <f>1*16*7</f>
        <v>112</v>
      </c>
      <c r="H1721" s="148"/>
      <c r="I1721" s="148"/>
      <c r="J1721" s="170">
        <f>PRODUCT(D1721:H1721)-I1721</f>
        <v>112</v>
      </c>
      <c r="L1721" s="10"/>
      <c r="M1721" s="10"/>
      <c r="N1721" s="10"/>
      <c r="O1721" s="10"/>
      <c r="P1721" s="10"/>
      <c r="Q1721" s="10"/>
      <c r="R1721" s="10"/>
      <c r="S1721" s="10"/>
      <c r="T1721" s="10"/>
      <c r="U1721" s="10"/>
      <c r="V1721" s="10"/>
      <c r="W1721" s="10"/>
      <c r="X1721" s="10"/>
      <c r="Y1721" s="10"/>
    </row>
    <row r="1722" spans="1:25" ht="16.5" customHeight="1" x14ac:dyDescent="0.2">
      <c r="A1722" s="336" t="str">
        <f>"TOTAL - "&amp;'Planilha orçamentária'!F123</f>
        <v>TOTAL - UN</v>
      </c>
      <c r="B1722" s="337"/>
      <c r="C1722" s="337"/>
      <c r="D1722" s="337"/>
      <c r="E1722" s="337"/>
      <c r="F1722" s="337"/>
      <c r="G1722" s="337"/>
      <c r="H1722" s="337"/>
      <c r="I1722" s="338"/>
      <c r="J1722" s="149">
        <f>SUM(J1721)</f>
        <v>112</v>
      </c>
      <c r="K1722" s="10"/>
      <c r="L1722" s="10"/>
      <c r="M1722" s="10"/>
      <c r="N1722" s="10"/>
      <c r="O1722" s="10"/>
      <c r="P1722" s="10"/>
      <c r="Q1722" s="10"/>
      <c r="R1722" s="10"/>
      <c r="S1722" s="10"/>
      <c r="T1722" s="10"/>
      <c r="U1722" s="10"/>
      <c r="V1722" s="10"/>
      <c r="W1722" s="10"/>
      <c r="X1722" s="10"/>
      <c r="Y1722" s="10"/>
    </row>
    <row r="1723" spans="1:25" s="166" customFormat="1" ht="25.5" customHeight="1" x14ac:dyDescent="0.2">
      <c r="A1723" s="184" t="str">
        <f>'Planilha orçamentária'!A124</f>
        <v>14.11</v>
      </c>
      <c r="B1723" s="343" t="str">
        <f>'Planilha orçamentária'!D124</f>
        <v>Conjunto de dois (2) interruptores simples, corrente 10a, tensão 250v, (10a-250v), com placa 4"x2" de dois (2) posto, inclusive fornecimento, instalação, suporte, módulo e placa</v>
      </c>
      <c r="C1723" s="344"/>
      <c r="D1723" s="344"/>
      <c r="E1723" s="344"/>
      <c r="F1723" s="344"/>
      <c r="G1723" s="344"/>
      <c r="H1723" s="344"/>
      <c r="I1723" s="344"/>
      <c r="J1723" s="344"/>
      <c r="K1723" s="10"/>
      <c r="L1723" s="10"/>
      <c r="M1723" s="10"/>
      <c r="N1723" s="10"/>
      <c r="O1723" s="10"/>
      <c r="P1723" s="10"/>
      <c r="Q1723" s="10"/>
      <c r="R1723" s="10"/>
      <c r="S1723" s="10"/>
      <c r="T1723" s="10"/>
      <c r="U1723" s="10"/>
      <c r="V1723" s="10"/>
      <c r="W1723" s="10"/>
      <c r="X1723" s="10"/>
      <c r="Y1723" s="10"/>
    </row>
    <row r="1724" spans="1:25" s="166" customFormat="1" ht="16.5" customHeight="1" x14ac:dyDescent="0.2">
      <c r="A1724" s="333" t="s">
        <v>120</v>
      </c>
      <c r="B1724" s="334"/>
      <c r="C1724" s="335"/>
      <c r="D1724" s="205" t="s">
        <v>121</v>
      </c>
      <c r="E1724" s="205" t="s">
        <v>122</v>
      </c>
      <c r="F1724" s="206" t="s">
        <v>123</v>
      </c>
      <c r="G1724" s="206" t="s">
        <v>124</v>
      </c>
      <c r="H1724" s="206" t="s">
        <v>128</v>
      </c>
      <c r="I1724" s="205" t="s">
        <v>125</v>
      </c>
      <c r="J1724" s="205" t="s">
        <v>113</v>
      </c>
      <c r="K1724" s="10"/>
      <c r="L1724" s="10"/>
      <c r="M1724" s="10"/>
      <c r="N1724" s="10"/>
      <c r="O1724" s="10"/>
      <c r="P1724" s="10"/>
      <c r="Q1724" s="10"/>
      <c r="R1724" s="10"/>
      <c r="S1724" s="10"/>
      <c r="T1724" s="10"/>
      <c r="U1724" s="10"/>
      <c r="V1724" s="10"/>
      <c r="W1724" s="10"/>
      <c r="X1724" s="10"/>
      <c r="Y1724" s="10"/>
    </row>
    <row r="1725" spans="1:25" s="166" customFormat="1" ht="16.5" customHeight="1" x14ac:dyDescent="0.2">
      <c r="A1725" s="318" t="s">
        <v>864</v>
      </c>
      <c r="B1725" s="319"/>
      <c r="C1725" s="332"/>
      <c r="D1725" s="148"/>
      <c r="E1725" s="148"/>
      <c r="F1725" s="148"/>
      <c r="G1725" s="148">
        <f>1*16*7</f>
        <v>112</v>
      </c>
      <c r="H1725" s="148"/>
      <c r="I1725" s="148"/>
      <c r="J1725" s="170">
        <f t="shared" ref="J1725" si="103">PRODUCT(D1725:H1725)-I1725</f>
        <v>112</v>
      </c>
      <c r="L1725" s="10"/>
      <c r="M1725" s="10"/>
      <c r="N1725" s="10"/>
      <c r="O1725" s="10"/>
      <c r="P1725" s="10"/>
      <c r="Q1725" s="10"/>
      <c r="R1725" s="10"/>
      <c r="S1725" s="10"/>
      <c r="T1725" s="10"/>
      <c r="U1725" s="10"/>
      <c r="V1725" s="10"/>
      <c r="W1725" s="10"/>
      <c r="X1725" s="10"/>
      <c r="Y1725" s="10"/>
    </row>
    <row r="1726" spans="1:25" s="166" customFormat="1" ht="16.5" customHeight="1" x14ac:dyDescent="0.2">
      <c r="A1726" s="336" t="str">
        <f>"TOTAL - "&amp;'Planilha orçamentária'!F124</f>
        <v>TOTAL - UN</v>
      </c>
      <c r="B1726" s="337"/>
      <c r="C1726" s="337"/>
      <c r="D1726" s="337"/>
      <c r="E1726" s="337"/>
      <c r="F1726" s="337"/>
      <c r="G1726" s="337"/>
      <c r="H1726" s="337"/>
      <c r="I1726" s="338"/>
      <c r="J1726" s="149">
        <f>SUM(J1725)</f>
        <v>112</v>
      </c>
      <c r="K1726" s="10"/>
      <c r="L1726" s="10"/>
      <c r="M1726" s="10"/>
      <c r="N1726" s="10"/>
      <c r="O1726" s="10"/>
      <c r="P1726" s="10"/>
      <c r="Q1726" s="10"/>
      <c r="R1726" s="10"/>
      <c r="S1726" s="10"/>
      <c r="T1726" s="10"/>
      <c r="U1726" s="10"/>
      <c r="V1726" s="10"/>
      <c r="W1726" s="10"/>
      <c r="X1726" s="10"/>
      <c r="Y1726" s="10"/>
    </row>
    <row r="1727" spans="1:25" ht="16.5" customHeight="1" x14ac:dyDescent="0.2">
      <c r="A1727" s="184" t="str">
        <f>'Planilha orçamentária'!A125</f>
        <v>14.12</v>
      </c>
      <c r="B1727" s="343" t="str">
        <f>'Planilha orçamentária'!D125</f>
        <v>Disjuntor monopolar termomagnético 5ka, de 20a</v>
      </c>
      <c r="C1727" s="344"/>
      <c r="D1727" s="344"/>
      <c r="E1727" s="344"/>
      <c r="F1727" s="344"/>
      <c r="G1727" s="344"/>
      <c r="H1727" s="344"/>
      <c r="I1727" s="344"/>
      <c r="J1727" s="344"/>
      <c r="K1727" s="10"/>
      <c r="L1727" s="10"/>
      <c r="M1727" s="10"/>
      <c r="N1727" s="10"/>
      <c r="O1727" s="10"/>
      <c r="P1727" s="10"/>
      <c r="Q1727" s="10"/>
      <c r="R1727" s="10"/>
      <c r="S1727" s="10"/>
      <c r="T1727" s="10"/>
      <c r="U1727" s="10"/>
      <c r="V1727" s="10"/>
      <c r="W1727" s="10"/>
      <c r="X1727" s="10"/>
      <c r="Y1727" s="10"/>
    </row>
    <row r="1728" spans="1:25" ht="16.5" customHeight="1" x14ac:dyDescent="0.2">
      <c r="A1728" s="327" t="s">
        <v>120</v>
      </c>
      <c r="B1728" s="328"/>
      <c r="C1728" s="328"/>
      <c r="D1728" s="182" t="s">
        <v>121</v>
      </c>
      <c r="E1728" s="182" t="s">
        <v>122</v>
      </c>
      <c r="F1728" s="181" t="s">
        <v>123</v>
      </c>
      <c r="G1728" s="181" t="s">
        <v>124</v>
      </c>
      <c r="H1728" s="181" t="s">
        <v>128</v>
      </c>
      <c r="I1728" s="182" t="s">
        <v>125</v>
      </c>
      <c r="J1728" s="182" t="s">
        <v>113</v>
      </c>
      <c r="K1728" s="10"/>
      <c r="L1728" s="10"/>
      <c r="M1728" s="10"/>
      <c r="N1728" s="10"/>
      <c r="O1728" s="10"/>
      <c r="P1728" s="10"/>
      <c r="Q1728" s="10"/>
      <c r="R1728" s="10"/>
      <c r="S1728" s="10"/>
      <c r="T1728" s="10"/>
      <c r="U1728" s="10"/>
      <c r="V1728" s="10"/>
      <c r="W1728" s="10"/>
      <c r="X1728" s="10"/>
      <c r="Y1728" s="10"/>
    </row>
    <row r="1729" spans="1:25" ht="16.5" customHeight="1" x14ac:dyDescent="0.2">
      <c r="A1729" s="318" t="s">
        <v>820</v>
      </c>
      <c r="B1729" s="319"/>
      <c r="C1729" s="332"/>
      <c r="D1729" s="148"/>
      <c r="E1729" s="148"/>
      <c r="F1729" s="148"/>
      <c r="G1729" s="148">
        <v>343</v>
      </c>
      <c r="H1729" s="148"/>
      <c r="I1729" s="148"/>
      <c r="J1729" s="170">
        <f>PRODUCT(D1729:H1729)-I1729</f>
        <v>343</v>
      </c>
      <c r="L1729" s="10"/>
      <c r="M1729" s="10"/>
      <c r="N1729" s="10"/>
      <c r="O1729" s="10"/>
      <c r="P1729" s="10"/>
      <c r="Q1729" s="10"/>
      <c r="R1729" s="10"/>
      <c r="S1729" s="10"/>
      <c r="T1729" s="10"/>
      <c r="U1729" s="10"/>
      <c r="V1729" s="10"/>
      <c r="W1729" s="10"/>
      <c r="X1729" s="10"/>
      <c r="Y1729" s="10"/>
    </row>
    <row r="1730" spans="1:25" ht="16.5" customHeight="1" x14ac:dyDescent="0.2">
      <c r="A1730" s="336" t="str">
        <f>"TOTAL - "&amp;'Planilha orçamentária'!F125</f>
        <v>TOTAL - UN</v>
      </c>
      <c r="B1730" s="337"/>
      <c r="C1730" s="337"/>
      <c r="D1730" s="337"/>
      <c r="E1730" s="337"/>
      <c r="F1730" s="337"/>
      <c r="G1730" s="337"/>
      <c r="H1730" s="337"/>
      <c r="I1730" s="338"/>
      <c r="J1730" s="149">
        <f>SUM(J1729)</f>
        <v>343</v>
      </c>
      <c r="K1730" s="10"/>
      <c r="L1730" s="10"/>
      <c r="M1730" s="10"/>
      <c r="N1730" s="10"/>
      <c r="O1730" s="10"/>
      <c r="P1730" s="10"/>
      <c r="Q1730" s="10"/>
      <c r="R1730" s="10"/>
      <c r="S1730" s="10"/>
      <c r="T1730" s="10"/>
      <c r="U1730" s="10"/>
      <c r="V1730" s="10"/>
      <c r="W1730" s="10"/>
      <c r="X1730" s="10"/>
      <c r="Y1730" s="10"/>
    </row>
    <row r="1731" spans="1:25" ht="16.5" customHeight="1" x14ac:dyDescent="0.2">
      <c r="A1731" s="184" t="str">
        <f>'Planilha orçamentária'!A126</f>
        <v>14.13</v>
      </c>
      <c r="B1731" s="343" t="str">
        <f>'Planilha orçamentária'!D126</f>
        <v>Disjuntor bipolar termomagnético 5ka, de 40a</v>
      </c>
      <c r="C1731" s="344"/>
      <c r="D1731" s="344"/>
      <c r="E1731" s="344"/>
      <c r="F1731" s="344"/>
      <c r="G1731" s="344"/>
      <c r="H1731" s="344"/>
      <c r="I1731" s="344"/>
      <c r="J1731" s="344"/>
      <c r="K1731" s="10"/>
      <c r="L1731" s="10"/>
      <c r="M1731" s="10"/>
      <c r="N1731" s="10"/>
      <c r="O1731" s="10"/>
      <c r="P1731" s="10"/>
      <c r="Q1731" s="10"/>
      <c r="R1731" s="10"/>
      <c r="S1731" s="10"/>
      <c r="T1731" s="10"/>
      <c r="U1731" s="10"/>
      <c r="V1731" s="10"/>
      <c r="W1731" s="10"/>
      <c r="X1731" s="10"/>
      <c r="Y1731" s="10"/>
    </row>
    <row r="1732" spans="1:25" ht="16.5" customHeight="1" x14ac:dyDescent="0.2">
      <c r="A1732" s="327" t="s">
        <v>120</v>
      </c>
      <c r="B1732" s="328"/>
      <c r="C1732" s="328"/>
      <c r="D1732" s="182" t="s">
        <v>121</v>
      </c>
      <c r="E1732" s="182" t="s">
        <v>122</v>
      </c>
      <c r="F1732" s="181" t="s">
        <v>123</v>
      </c>
      <c r="G1732" s="181" t="s">
        <v>124</v>
      </c>
      <c r="H1732" s="181" t="s">
        <v>128</v>
      </c>
      <c r="I1732" s="182" t="s">
        <v>125</v>
      </c>
      <c r="J1732" s="182" t="s">
        <v>113</v>
      </c>
      <c r="K1732" s="10"/>
      <c r="L1732" s="10"/>
      <c r="M1732" s="10"/>
      <c r="N1732" s="10"/>
      <c r="O1732" s="10"/>
      <c r="P1732" s="10"/>
      <c r="Q1732" s="10"/>
      <c r="R1732" s="10"/>
      <c r="S1732" s="10"/>
      <c r="T1732" s="10"/>
      <c r="U1732" s="10"/>
      <c r="V1732" s="10"/>
      <c r="W1732" s="10"/>
      <c r="X1732" s="10"/>
      <c r="Y1732" s="10"/>
    </row>
    <row r="1733" spans="1:25" ht="16.5" customHeight="1" x14ac:dyDescent="0.2">
      <c r="A1733" s="318" t="s">
        <v>820</v>
      </c>
      <c r="B1733" s="319"/>
      <c r="C1733" s="332"/>
      <c r="D1733" s="148"/>
      <c r="E1733" s="148"/>
      <c r="F1733" s="148"/>
      <c r="G1733" s="148">
        <v>119</v>
      </c>
      <c r="H1733" s="148"/>
      <c r="I1733" s="148"/>
      <c r="J1733" s="170">
        <f>PRODUCT(D1733:H1733)-I1733</f>
        <v>119</v>
      </c>
      <c r="L1733" s="10"/>
      <c r="M1733" s="10"/>
      <c r="N1733" s="10"/>
      <c r="O1733" s="10"/>
      <c r="P1733" s="10"/>
      <c r="Q1733" s="10"/>
      <c r="R1733" s="10"/>
      <c r="S1733" s="10"/>
      <c r="T1733" s="10"/>
      <c r="U1733" s="10"/>
      <c r="V1733" s="10"/>
      <c r="W1733" s="10"/>
      <c r="X1733" s="10"/>
      <c r="Y1733" s="10"/>
    </row>
    <row r="1734" spans="1:25" ht="16.5" customHeight="1" x14ac:dyDescent="0.2">
      <c r="A1734" s="336" t="str">
        <f>"TOTAL - "&amp;'Planilha orçamentária'!F126</f>
        <v>TOTAL - UN</v>
      </c>
      <c r="B1734" s="337"/>
      <c r="C1734" s="337"/>
      <c r="D1734" s="337"/>
      <c r="E1734" s="337"/>
      <c r="F1734" s="337"/>
      <c r="G1734" s="337"/>
      <c r="H1734" s="337"/>
      <c r="I1734" s="338"/>
      <c r="J1734" s="149">
        <f>SUM(J1733)</f>
        <v>119</v>
      </c>
      <c r="K1734" s="10"/>
      <c r="L1734" s="10"/>
      <c r="M1734" s="10"/>
      <c r="N1734" s="10"/>
      <c r="O1734" s="10"/>
      <c r="P1734" s="10"/>
      <c r="Q1734" s="10"/>
      <c r="R1734" s="10"/>
      <c r="S1734" s="10"/>
      <c r="T1734" s="10"/>
      <c r="U1734" s="10"/>
      <c r="V1734" s="10"/>
      <c r="W1734" s="10"/>
      <c r="X1734" s="10"/>
      <c r="Y1734" s="10"/>
    </row>
    <row r="1735" spans="1:25" ht="16.5" customHeight="1" x14ac:dyDescent="0.2">
      <c r="A1735" s="184" t="str">
        <f>'Planilha orçamentária'!A127</f>
        <v>14.14</v>
      </c>
      <c r="B1735" s="343" t="str">
        <f>'Planilha orçamentária'!D127</f>
        <v>Disjuntor bipolar termomagnético 10ka, de 35a</v>
      </c>
      <c r="C1735" s="344"/>
      <c r="D1735" s="344"/>
      <c r="E1735" s="344"/>
      <c r="F1735" s="344"/>
      <c r="G1735" s="344"/>
      <c r="H1735" s="344"/>
      <c r="I1735" s="344"/>
      <c r="J1735" s="344"/>
      <c r="K1735" s="10"/>
      <c r="L1735" s="10"/>
      <c r="M1735" s="10"/>
      <c r="N1735" s="10"/>
      <c r="O1735" s="10"/>
      <c r="P1735" s="10"/>
      <c r="Q1735" s="10"/>
      <c r="R1735" s="10"/>
      <c r="S1735" s="10"/>
      <c r="T1735" s="10"/>
      <c r="U1735" s="10"/>
      <c r="V1735" s="10"/>
      <c r="W1735" s="10"/>
      <c r="X1735" s="10"/>
      <c r="Y1735" s="10"/>
    </row>
    <row r="1736" spans="1:25" ht="16.5" customHeight="1" x14ac:dyDescent="0.2">
      <c r="A1736" s="327" t="s">
        <v>120</v>
      </c>
      <c r="B1736" s="328"/>
      <c r="C1736" s="328"/>
      <c r="D1736" s="182" t="s">
        <v>121</v>
      </c>
      <c r="E1736" s="182" t="s">
        <v>122</v>
      </c>
      <c r="F1736" s="181" t="s">
        <v>123</v>
      </c>
      <c r="G1736" s="181" t="s">
        <v>124</v>
      </c>
      <c r="H1736" s="181" t="s">
        <v>128</v>
      </c>
      <c r="I1736" s="182" t="s">
        <v>125</v>
      </c>
      <c r="J1736" s="182" t="s">
        <v>113</v>
      </c>
      <c r="K1736" s="10"/>
      <c r="L1736" s="10"/>
      <c r="M1736" s="10"/>
      <c r="N1736" s="10"/>
      <c r="O1736" s="10"/>
      <c r="P1736" s="10"/>
      <c r="Q1736" s="10"/>
      <c r="R1736" s="10"/>
      <c r="S1736" s="10"/>
      <c r="T1736" s="10"/>
      <c r="U1736" s="10"/>
      <c r="V1736" s="10"/>
      <c r="W1736" s="10"/>
      <c r="X1736" s="10"/>
      <c r="Y1736" s="10"/>
    </row>
    <row r="1737" spans="1:25" ht="16.5" customHeight="1" x14ac:dyDescent="0.2">
      <c r="A1737" s="318" t="s">
        <v>820</v>
      </c>
      <c r="B1737" s="319"/>
      <c r="C1737" s="332"/>
      <c r="D1737" s="148"/>
      <c r="E1737" s="148"/>
      <c r="F1737" s="148"/>
      <c r="G1737" s="148">
        <v>112</v>
      </c>
      <c r="H1737" s="148"/>
      <c r="I1737" s="148"/>
      <c r="J1737" s="170">
        <f>PRODUCT(D1737:H1737)-I1737</f>
        <v>112</v>
      </c>
      <c r="L1737" s="10"/>
      <c r="M1737" s="10"/>
      <c r="N1737" s="10"/>
      <c r="O1737" s="10"/>
      <c r="P1737" s="10"/>
      <c r="Q1737" s="10"/>
      <c r="R1737" s="10"/>
      <c r="S1737" s="10"/>
      <c r="T1737" s="10"/>
      <c r="U1737" s="10"/>
      <c r="V1737" s="10"/>
      <c r="W1737" s="10"/>
      <c r="X1737" s="10"/>
      <c r="Y1737" s="10"/>
    </row>
    <row r="1738" spans="1:25" ht="16.5" customHeight="1" x14ac:dyDescent="0.2">
      <c r="A1738" s="336" t="str">
        <f>"TOTAL - "&amp;'Planilha orçamentária'!F127</f>
        <v>TOTAL - UN</v>
      </c>
      <c r="B1738" s="337"/>
      <c r="C1738" s="337"/>
      <c r="D1738" s="337"/>
      <c r="E1738" s="337"/>
      <c r="F1738" s="337"/>
      <c r="G1738" s="337"/>
      <c r="H1738" s="337"/>
      <c r="I1738" s="338"/>
      <c r="J1738" s="149">
        <f>SUM(J1737)</f>
        <v>112</v>
      </c>
      <c r="K1738" s="10"/>
      <c r="L1738" s="10"/>
      <c r="M1738" s="10"/>
      <c r="N1738" s="10"/>
      <c r="O1738" s="10"/>
      <c r="P1738" s="10"/>
      <c r="Q1738" s="10"/>
      <c r="R1738" s="10"/>
      <c r="S1738" s="10"/>
      <c r="T1738" s="10"/>
      <c r="U1738" s="10"/>
      <c r="V1738" s="10"/>
      <c r="W1738" s="10"/>
      <c r="X1738" s="10"/>
      <c r="Y1738" s="10"/>
    </row>
    <row r="1739" spans="1:25" ht="16.5" customHeight="1" x14ac:dyDescent="0.2">
      <c r="A1739" s="184" t="str">
        <f>'Planilha orçamentária'!A128</f>
        <v>14.15</v>
      </c>
      <c r="B1739" s="343" t="str">
        <f>'Planilha orçamentária'!D128</f>
        <v>Disjuntor monopolar termomagnético 5ka, de 10a</v>
      </c>
      <c r="C1739" s="344"/>
      <c r="D1739" s="344"/>
      <c r="E1739" s="344"/>
      <c r="F1739" s="344"/>
      <c r="G1739" s="344"/>
      <c r="H1739" s="344"/>
      <c r="I1739" s="344"/>
      <c r="J1739" s="344"/>
      <c r="K1739" s="10"/>
      <c r="L1739" s="10"/>
      <c r="M1739" s="10"/>
      <c r="N1739" s="10"/>
      <c r="O1739" s="10"/>
      <c r="P1739" s="10"/>
      <c r="Q1739" s="10"/>
      <c r="R1739" s="10"/>
      <c r="S1739" s="10"/>
      <c r="T1739" s="10"/>
      <c r="U1739" s="10"/>
      <c r="V1739" s="10"/>
      <c r="W1739" s="10"/>
      <c r="X1739" s="10"/>
      <c r="Y1739" s="10"/>
    </row>
    <row r="1740" spans="1:25" ht="16.5" customHeight="1" x14ac:dyDescent="0.2">
      <c r="A1740" s="327" t="s">
        <v>120</v>
      </c>
      <c r="B1740" s="328"/>
      <c r="C1740" s="328"/>
      <c r="D1740" s="182" t="s">
        <v>121</v>
      </c>
      <c r="E1740" s="182" t="s">
        <v>122</v>
      </c>
      <c r="F1740" s="181" t="s">
        <v>123</v>
      </c>
      <c r="G1740" s="181" t="s">
        <v>124</v>
      </c>
      <c r="H1740" s="181" t="s">
        <v>128</v>
      </c>
      <c r="I1740" s="182" t="s">
        <v>125</v>
      </c>
      <c r="J1740" s="182" t="s">
        <v>113</v>
      </c>
      <c r="K1740" s="10"/>
      <c r="L1740" s="10"/>
      <c r="M1740" s="10"/>
      <c r="N1740" s="10"/>
      <c r="O1740" s="10"/>
      <c r="P1740" s="10"/>
      <c r="Q1740" s="10"/>
      <c r="R1740" s="10"/>
      <c r="S1740" s="10"/>
      <c r="T1740" s="10"/>
      <c r="U1740" s="10"/>
      <c r="V1740" s="10"/>
      <c r="W1740" s="10"/>
      <c r="X1740" s="10"/>
      <c r="Y1740" s="10"/>
    </row>
    <row r="1741" spans="1:25" ht="16.5" customHeight="1" x14ac:dyDescent="0.2">
      <c r="A1741" s="318" t="s">
        <v>820</v>
      </c>
      <c r="B1741" s="319"/>
      <c r="C1741" s="332"/>
      <c r="D1741" s="148"/>
      <c r="E1741" s="148"/>
      <c r="F1741" s="148"/>
      <c r="G1741" s="148">
        <v>119</v>
      </c>
      <c r="H1741" s="148"/>
      <c r="I1741" s="148"/>
      <c r="J1741" s="170">
        <f>PRODUCT(D1741:H1741)-I1741</f>
        <v>119</v>
      </c>
      <c r="L1741" s="10"/>
      <c r="M1741" s="10"/>
      <c r="N1741" s="10"/>
      <c r="O1741" s="10"/>
      <c r="P1741" s="10"/>
      <c r="Q1741" s="10"/>
      <c r="R1741" s="10"/>
      <c r="S1741" s="10"/>
      <c r="T1741" s="10"/>
      <c r="U1741" s="10"/>
      <c r="V1741" s="10"/>
      <c r="W1741" s="10"/>
      <c r="X1741" s="10"/>
      <c r="Y1741" s="10"/>
    </row>
    <row r="1742" spans="1:25" ht="16.5" customHeight="1" x14ac:dyDescent="0.2">
      <c r="A1742" s="336" t="str">
        <f>"TOTAL - "&amp;'Planilha orçamentária'!F128</f>
        <v>TOTAL - UN</v>
      </c>
      <c r="B1742" s="337"/>
      <c r="C1742" s="337"/>
      <c r="D1742" s="337"/>
      <c r="E1742" s="337"/>
      <c r="F1742" s="337"/>
      <c r="G1742" s="337"/>
      <c r="H1742" s="337"/>
      <c r="I1742" s="338"/>
      <c r="J1742" s="149">
        <f>SUM(J1741)</f>
        <v>119</v>
      </c>
      <c r="K1742" s="10"/>
      <c r="L1742" s="10"/>
      <c r="M1742" s="10"/>
      <c r="N1742" s="10"/>
      <c r="O1742" s="10"/>
      <c r="P1742" s="10"/>
      <c r="Q1742" s="10"/>
      <c r="R1742" s="10"/>
      <c r="S1742" s="10"/>
      <c r="T1742" s="10"/>
      <c r="U1742" s="10"/>
      <c r="V1742" s="10"/>
      <c r="W1742" s="10"/>
      <c r="X1742" s="10"/>
      <c r="Y1742" s="10"/>
    </row>
    <row r="1743" spans="1:25" ht="16.5" customHeight="1" x14ac:dyDescent="0.2">
      <c r="A1743" s="184" t="str">
        <f>'Planilha orçamentária'!A129</f>
        <v>14.16</v>
      </c>
      <c r="B1743" s="343" t="str">
        <f>'Planilha orçamentária'!D129</f>
        <v>Supressor de surto para proteção primária em qgd, até 1,5 kv - 5 ka</v>
      </c>
      <c r="C1743" s="344"/>
      <c r="D1743" s="344"/>
      <c r="E1743" s="344"/>
      <c r="F1743" s="344"/>
      <c r="G1743" s="344"/>
      <c r="H1743" s="344"/>
      <c r="I1743" s="344"/>
      <c r="J1743" s="344"/>
      <c r="K1743" s="10"/>
      <c r="L1743" s="10"/>
      <c r="M1743" s="10"/>
      <c r="N1743" s="10"/>
      <c r="O1743" s="10"/>
      <c r="P1743" s="10"/>
      <c r="Q1743" s="10"/>
      <c r="R1743" s="10"/>
      <c r="S1743" s="10"/>
      <c r="T1743" s="10"/>
      <c r="U1743" s="10"/>
      <c r="V1743" s="10"/>
      <c r="W1743" s="10"/>
      <c r="X1743" s="10"/>
      <c r="Y1743" s="10"/>
    </row>
    <row r="1744" spans="1:25" ht="16.5" customHeight="1" x14ac:dyDescent="0.2">
      <c r="A1744" s="327" t="s">
        <v>120</v>
      </c>
      <c r="B1744" s="328"/>
      <c r="C1744" s="328"/>
      <c r="D1744" s="182" t="s">
        <v>121</v>
      </c>
      <c r="E1744" s="182" t="s">
        <v>122</v>
      </c>
      <c r="F1744" s="181" t="s">
        <v>123</v>
      </c>
      <c r="G1744" s="181" t="s">
        <v>124</v>
      </c>
      <c r="H1744" s="181" t="s">
        <v>128</v>
      </c>
      <c r="I1744" s="182" t="s">
        <v>125</v>
      </c>
      <c r="J1744" s="182" t="s">
        <v>113</v>
      </c>
      <c r="K1744" s="10"/>
      <c r="L1744" s="10"/>
      <c r="M1744" s="10"/>
      <c r="N1744" s="10"/>
      <c r="O1744" s="10"/>
      <c r="P1744" s="10"/>
      <c r="Q1744" s="10"/>
      <c r="R1744" s="10"/>
      <c r="S1744" s="10"/>
      <c r="T1744" s="10"/>
      <c r="U1744" s="10"/>
      <c r="V1744" s="10"/>
      <c r="W1744" s="10"/>
      <c r="X1744" s="10"/>
      <c r="Y1744" s="10"/>
    </row>
    <row r="1745" spans="1:25" ht="16.5" customHeight="1" x14ac:dyDescent="0.2">
      <c r="A1745" s="318" t="s">
        <v>820</v>
      </c>
      <c r="B1745" s="319"/>
      <c r="C1745" s="332"/>
      <c r="D1745" s="148"/>
      <c r="E1745" s="148"/>
      <c r="F1745" s="148"/>
      <c r="G1745" s="148">
        <v>238</v>
      </c>
      <c r="H1745" s="148"/>
      <c r="I1745" s="148"/>
      <c r="J1745" s="170">
        <f>PRODUCT(D1745:H1745)-I1745</f>
        <v>238</v>
      </c>
      <c r="L1745" s="10"/>
      <c r="M1745" s="10"/>
      <c r="N1745" s="10"/>
      <c r="O1745" s="10"/>
      <c r="P1745" s="10"/>
      <c r="Q1745" s="10"/>
      <c r="R1745" s="10"/>
      <c r="S1745" s="10"/>
      <c r="T1745" s="10"/>
      <c r="U1745" s="10"/>
      <c r="V1745" s="10"/>
      <c r="W1745" s="10"/>
      <c r="X1745" s="10"/>
      <c r="Y1745" s="10"/>
    </row>
    <row r="1746" spans="1:25" ht="16.5" customHeight="1" x14ac:dyDescent="0.2">
      <c r="A1746" s="336" t="str">
        <f>"TOTAL - "&amp;'Planilha orçamentária'!F129</f>
        <v>TOTAL - UN</v>
      </c>
      <c r="B1746" s="337"/>
      <c r="C1746" s="337"/>
      <c r="D1746" s="337"/>
      <c r="E1746" s="337"/>
      <c r="F1746" s="337"/>
      <c r="G1746" s="337"/>
      <c r="H1746" s="337"/>
      <c r="I1746" s="338"/>
      <c r="J1746" s="149">
        <f>SUM(J1745)</f>
        <v>238</v>
      </c>
      <c r="K1746" s="10"/>
      <c r="L1746" s="10"/>
      <c r="M1746" s="10"/>
      <c r="N1746" s="10"/>
      <c r="O1746" s="10"/>
      <c r="P1746" s="10"/>
      <c r="Q1746" s="10"/>
      <c r="R1746" s="10"/>
      <c r="S1746" s="10"/>
      <c r="T1746" s="10"/>
      <c r="U1746" s="10"/>
      <c r="V1746" s="10"/>
      <c r="W1746" s="10"/>
      <c r="X1746" s="10"/>
      <c r="Y1746" s="10"/>
    </row>
    <row r="1747" spans="1:25" ht="16.5" customHeight="1" x14ac:dyDescent="0.2">
      <c r="A1747" s="184" t="str">
        <f>'Planilha orçamentária'!A130</f>
        <v>14.17</v>
      </c>
      <c r="B1747" s="343" t="str">
        <f>'Planilha orçamentária'!D130</f>
        <v>Eletroduto flexível corrugado, pvc, dn 25 mm (3/4"), para circuitos terminais, instalado em parede - fornecimento e instalação. Af_12/2015</v>
      </c>
      <c r="C1747" s="344"/>
      <c r="D1747" s="344"/>
      <c r="E1747" s="344"/>
      <c r="F1747" s="344"/>
      <c r="G1747" s="344"/>
      <c r="H1747" s="344"/>
      <c r="I1747" s="344"/>
      <c r="J1747" s="344"/>
      <c r="K1747" s="10"/>
      <c r="L1747" s="10"/>
      <c r="M1747" s="10"/>
      <c r="N1747" s="10"/>
      <c r="O1747" s="10"/>
      <c r="P1747" s="10"/>
      <c r="Q1747" s="10"/>
      <c r="R1747" s="10"/>
      <c r="S1747" s="10"/>
      <c r="T1747" s="10"/>
      <c r="U1747" s="10"/>
      <c r="V1747" s="10"/>
      <c r="W1747" s="10"/>
      <c r="X1747" s="10"/>
      <c r="Y1747" s="10"/>
    </row>
    <row r="1748" spans="1:25" ht="16.5" customHeight="1" x14ac:dyDescent="0.2">
      <c r="A1748" s="327" t="s">
        <v>120</v>
      </c>
      <c r="B1748" s="328"/>
      <c r="C1748" s="328"/>
      <c r="D1748" s="182" t="s">
        <v>121</v>
      </c>
      <c r="E1748" s="182" t="s">
        <v>122</v>
      </c>
      <c r="F1748" s="181" t="s">
        <v>123</v>
      </c>
      <c r="G1748" s="181" t="s">
        <v>124</v>
      </c>
      <c r="H1748" s="181" t="s">
        <v>128</v>
      </c>
      <c r="I1748" s="182" t="s">
        <v>125</v>
      </c>
      <c r="J1748" s="182" t="s">
        <v>113</v>
      </c>
      <c r="K1748" s="10"/>
      <c r="L1748" s="10"/>
      <c r="M1748" s="10"/>
      <c r="N1748" s="10"/>
      <c r="O1748" s="10"/>
      <c r="P1748" s="10"/>
      <c r="Q1748" s="10"/>
      <c r="R1748" s="10"/>
      <c r="S1748" s="10"/>
      <c r="T1748" s="10"/>
      <c r="U1748" s="10"/>
      <c r="V1748" s="10"/>
      <c r="W1748" s="10"/>
      <c r="X1748" s="10"/>
      <c r="Y1748" s="10"/>
    </row>
    <row r="1749" spans="1:25" ht="16.5" customHeight="1" x14ac:dyDescent="0.2">
      <c r="A1749" s="318" t="s">
        <v>820</v>
      </c>
      <c r="B1749" s="319"/>
      <c r="C1749" s="332"/>
      <c r="D1749" s="148"/>
      <c r="E1749" s="148"/>
      <c r="F1749" s="148"/>
      <c r="G1749" s="148">
        <v>7000</v>
      </c>
      <c r="H1749" s="148"/>
      <c r="I1749" s="148"/>
      <c r="J1749" s="170">
        <f>PRODUCT(D1749:H1749)-I1749</f>
        <v>7000</v>
      </c>
      <c r="L1749" s="10"/>
      <c r="M1749" s="10"/>
      <c r="N1749" s="10"/>
      <c r="O1749" s="10"/>
      <c r="P1749" s="10"/>
      <c r="Q1749" s="10"/>
      <c r="R1749" s="10"/>
      <c r="S1749" s="10"/>
      <c r="T1749" s="10"/>
      <c r="U1749" s="10"/>
      <c r="V1749" s="10"/>
      <c r="W1749" s="10"/>
      <c r="X1749" s="10"/>
      <c r="Y1749" s="10"/>
    </row>
    <row r="1750" spans="1:25" ht="16.5" customHeight="1" x14ac:dyDescent="0.2">
      <c r="A1750" s="336" t="str">
        <f>"TOTAL - "&amp;'Planilha orçamentária'!F130</f>
        <v>TOTAL - UN</v>
      </c>
      <c r="B1750" s="337"/>
      <c r="C1750" s="337"/>
      <c r="D1750" s="337"/>
      <c r="E1750" s="337"/>
      <c r="F1750" s="337"/>
      <c r="G1750" s="337"/>
      <c r="H1750" s="337"/>
      <c r="I1750" s="338"/>
      <c r="J1750" s="149">
        <f>SUM(J1749)</f>
        <v>7000</v>
      </c>
      <c r="K1750" s="10"/>
      <c r="L1750" s="10"/>
      <c r="M1750" s="10"/>
      <c r="N1750" s="10"/>
      <c r="O1750" s="10"/>
      <c r="P1750" s="10"/>
      <c r="Q1750" s="10"/>
      <c r="R1750" s="10"/>
      <c r="S1750" s="10"/>
      <c r="T1750" s="10"/>
      <c r="U1750" s="10"/>
      <c r="V1750" s="10"/>
      <c r="W1750" s="10"/>
      <c r="X1750" s="10"/>
      <c r="Y1750" s="10"/>
    </row>
    <row r="1751" spans="1:25" ht="16.5" customHeight="1" x14ac:dyDescent="0.2">
      <c r="A1751" s="184" t="str">
        <f>'Planilha orçamentária'!A131</f>
        <v>14.18</v>
      </c>
      <c r="B1751" s="343" t="str">
        <f>'Planilha orçamentária'!D131</f>
        <v>Luminária arandela tipo tartaruga blindada completa, para uma (1) lâmpada fluorescente compacta 20w, fornecimento e instalação, inclusive base e lâmpada</v>
      </c>
      <c r="C1751" s="344"/>
      <c r="D1751" s="344"/>
      <c r="E1751" s="344"/>
      <c r="F1751" s="344"/>
      <c r="G1751" s="344"/>
      <c r="H1751" s="344"/>
      <c r="I1751" s="344"/>
      <c r="J1751" s="344"/>
      <c r="K1751" s="10"/>
      <c r="L1751" s="10"/>
      <c r="M1751" s="10"/>
      <c r="N1751" s="10"/>
      <c r="O1751" s="10"/>
      <c r="P1751" s="10"/>
      <c r="Q1751" s="10"/>
      <c r="R1751" s="10"/>
      <c r="S1751" s="10"/>
      <c r="T1751" s="10"/>
      <c r="U1751" s="10"/>
      <c r="V1751" s="10"/>
      <c r="W1751" s="10"/>
      <c r="X1751" s="10"/>
      <c r="Y1751" s="10"/>
    </row>
    <row r="1752" spans="1:25" ht="16.5" customHeight="1" x14ac:dyDescent="0.2">
      <c r="A1752" s="327" t="s">
        <v>120</v>
      </c>
      <c r="B1752" s="328"/>
      <c r="C1752" s="328"/>
      <c r="D1752" s="182" t="s">
        <v>121</v>
      </c>
      <c r="E1752" s="182" t="s">
        <v>122</v>
      </c>
      <c r="F1752" s="181" t="s">
        <v>123</v>
      </c>
      <c r="G1752" s="181" t="s">
        <v>124</v>
      </c>
      <c r="H1752" s="181" t="s">
        <v>128</v>
      </c>
      <c r="I1752" s="182" t="s">
        <v>125</v>
      </c>
      <c r="J1752" s="182" t="s">
        <v>113</v>
      </c>
      <c r="K1752" s="10"/>
      <c r="L1752" s="10"/>
      <c r="M1752" s="10"/>
      <c r="N1752" s="10"/>
      <c r="O1752" s="10"/>
      <c r="P1752" s="10"/>
      <c r="Q1752" s="10"/>
      <c r="R1752" s="10"/>
      <c r="S1752" s="10"/>
      <c r="T1752" s="10"/>
      <c r="U1752" s="10"/>
      <c r="V1752" s="10"/>
      <c r="W1752" s="10"/>
      <c r="X1752" s="10"/>
      <c r="Y1752" s="10"/>
    </row>
    <row r="1753" spans="1:25" ht="16.5" customHeight="1" x14ac:dyDescent="0.2">
      <c r="A1753" s="318" t="s">
        <v>820</v>
      </c>
      <c r="B1753" s="319"/>
      <c r="C1753" s="332"/>
      <c r="D1753" s="148"/>
      <c r="E1753" s="148"/>
      <c r="F1753" s="148"/>
      <c r="G1753" s="148">
        <v>70</v>
      </c>
      <c r="H1753" s="148"/>
      <c r="I1753" s="148"/>
      <c r="J1753" s="170">
        <f>PRODUCT(D1753:H1753)-I1753</f>
        <v>70</v>
      </c>
      <c r="L1753" s="10"/>
      <c r="M1753" s="10"/>
      <c r="N1753" s="10"/>
      <c r="O1753" s="10"/>
      <c r="P1753" s="10"/>
      <c r="Q1753" s="10"/>
      <c r="R1753" s="10"/>
      <c r="S1753" s="10"/>
      <c r="T1753" s="10"/>
      <c r="U1753" s="10"/>
      <c r="V1753" s="10"/>
      <c r="W1753" s="10"/>
      <c r="X1753" s="10"/>
      <c r="Y1753" s="10"/>
    </row>
    <row r="1754" spans="1:25" ht="16.5" customHeight="1" x14ac:dyDescent="0.2">
      <c r="A1754" s="336" t="str">
        <f>"TOTAL - "&amp;'Planilha orçamentária'!F131</f>
        <v>TOTAL - UN</v>
      </c>
      <c r="B1754" s="337"/>
      <c r="C1754" s="337"/>
      <c r="D1754" s="337"/>
      <c r="E1754" s="337"/>
      <c r="F1754" s="337"/>
      <c r="G1754" s="337"/>
      <c r="H1754" s="337"/>
      <c r="I1754" s="338"/>
      <c r="J1754" s="149">
        <f>SUM(J1753)</f>
        <v>70</v>
      </c>
      <c r="K1754" s="10"/>
      <c r="L1754" s="10"/>
      <c r="M1754" s="10"/>
      <c r="N1754" s="10"/>
      <c r="O1754" s="10"/>
      <c r="P1754" s="10"/>
      <c r="Q1754" s="10"/>
      <c r="R1754" s="10"/>
      <c r="S1754" s="10"/>
      <c r="T1754" s="10"/>
      <c r="U1754" s="10"/>
      <c r="V1754" s="10"/>
      <c r="W1754" s="10"/>
      <c r="X1754" s="10"/>
      <c r="Y1754" s="10"/>
    </row>
    <row r="1755" spans="1:25" ht="25.5" customHeight="1" x14ac:dyDescent="0.2">
      <c r="A1755" s="184" t="str">
        <f>'Planilha orçamentária'!A132</f>
        <v>14.19</v>
      </c>
      <c r="B1755" s="343" t="str">
        <f>'Planilha orçamentária'!D132</f>
        <v>Luminária plafon redondo de vidro jateado redondo completa, diâmetro 25 cm, para uma (1) lâmpada led, potência 15w, bulbo a65, fornecimento e instalação, inclusive base e lâmpada</v>
      </c>
      <c r="C1755" s="344"/>
      <c r="D1755" s="344"/>
      <c r="E1755" s="344"/>
      <c r="F1755" s="344"/>
      <c r="G1755" s="344"/>
      <c r="H1755" s="344"/>
      <c r="I1755" s="344"/>
      <c r="J1755" s="344"/>
      <c r="K1755" s="10"/>
      <c r="L1755" s="10"/>
      <c r="M1755" s="10"/>
      <c r="N1755" s="10"/>
      <c r="O1755" s="10"/>
      <c r="P1755" s="10"/>
      <c r="Q1755" s="10"/>
      <c r="R1755" s="10"/>
      <c r="S1755" s="10"/>
      <c r="T1755" s="10"/>
      <c r="U1755" s="10"/>
      <c r="V1755" s="10"/>
      <c r="W1755" s="10"/>
      <c r="X1755" s="10"/>
      <c r="Y1755" s="10"/>
    </row>
    <row r="1756" spans="1:25" ht="16.5" customHeight="1" x14ac:dyDescent="0.2">
      <c r="A1756" s="327" t="s">
        <v>120</v>
      </c>
      <c r="B1756" s="328"/>
      <c r="C1756" s="328"/>
      <c r="D1756" s="182" t="s">
        <v>121</v>
      </c>
      <c r="E1756" s="182" t="s">
        <v>122</v>
      </c>
      <c r="F1756" s="181" t="s">
        <v>123</v>
      </c>
      <c r="G1756" s="181" t="s">
        <v>124</v>
      </c>
      <c r="H1756" s="181" t="s">
        <v>128</v>
      </c>
      <c r="I1756" s="182" t="s">
        <v>125</v>
      </c>
      <c r="J1756" s="182" t="s">
        <v>113</v>
      </c>
      <c r="K1756" s="10"/>
      <c r="L1756" s="10"/>
      <c r="M1756" s="10"/>
      <c r="N1756" s="10"/>
      <c r="O1756" s="10"/>
      <c r="P1756" s="10"/>
      <c r="Q1756" s="10"/>
      <c r="R1756" s="10"/>
      <c r="S1756" s="10"/>
      <c r="T1756" s="10"/>
      <c r="U1756" s="10"/>
      <c r="V1756" s="10"/>
      <c r="W1756" s="10"/>
      <c r="X1756" s="10"/>
      <c r="Y1756" s="10"/>
    </row>
    <row r="1757" spans="1:25" ht="16.5" customHeight="1" x14ac:dyDescent="0.2">
      <c r="A1757" s="318" t="s">
        <v>821</v>
      </c>
      <c r="B1757" s="319"/>
      <c r="C1757" s="332"/>
      <c r="D1757" s="148"/>
      <c r="E1757" s="148"/>
      <c r="F1757" s="148"/>
      <c r="G1757" s="148">
        <v>924</v>
      </c>
      <c r="H1757" s="148"/>
      <c r="I1757" s="148"/>
      <c r="J1757" s="170">
        <f>PRODUCT(D1757:H1757)-I1757</f>
        <v>924</v>
      </c>
      <c r="L1757" s="10"/>
      <c r="M1757" s="10"/>
      <c r="N1757" s="10"/>
      <c r="O1757" s="10"/>
      <c r="P1757" s="10"/>
      <c r="Q1757" s="10"/>
      <c r="R1757" s="10"/>
      <c r="S1757" s="10"/>
      <c r="T1757" s="10"/>
      <c r="U1757" s="10"/>
      <c r="V1757" s="10"/>
      <c r="W1757" s="10"/>
      <c r="X1757" s="10"/>
      <c r="Y1757" s="10"/>
    </row>
    <row r="1758" spans="1:25" ht="16.5" customHeight="1" x14ac:dyDescent="0.2">
      <c r="A1758" s="336" t="str">
        <f>"TOTAL - "&amp;'Planilha orçamentária'!F132</f>
        <v>TOTAL - UN</v>
      </c>
      <c r="B1758" s="337"/>
      <c r="C1758" s="337"/>
      <c r="D1758" s="337"/>
      <c r="E1758" s="337"/>
      <c r="F1758" s="337"/>
      <c r="G1758" s="337"/>
      <c r="H1758" s="337"/>
      <c r="I1758" s="338"/>
      <c r="J1758" s="149">
        <f>SUM(J1757)</f>
        <v>924</v>
      </c>
      <c r="K1758" s="10"/>
      <c r="L1758" s="10"/>
      <c r="M1758" s="10"/>
      <c r="N1758" s="10"/>
      <c r="O1758" s="10"/>
      <c r="P1758" s="10"/>
      <c r="Q1758" s="10"/>
      <c r="R1758" s="10"/>
      <c r="S1758" s="10"/>
      <c r="T1758" s="10"/>
      <c r="U1758" s="10"/>
      <c r="V1758" s="10"/>
      <c r="W1758" s="10"/>
      <c r="X1758" s="10"/>
      <c r="Y1758" s="10"/>
    </row>
    <row r="1759" spans="1:25" ht="16.5" customHeight="1" x14ac:dyDescent="0.2">
      <c r="A1759" s="184" t="str">
        <f>'Planilha orçamentária'!A133</f>
        <v>14.20</v>
      </c>
      <c r="B1759" s="343" t="str">
        <f>'Planilha orçamentária'!D133</f>
        <v>Caixa de passagem em chapa de aço, embutir 230 x 230 x 102 mm</v>
      </c>
      <c r="C1759" s="344"/>
      <c r="D1759" s="344"/>
      <c r="E1759" s="344"/>
      <c r="F1759" s="344"/>
      <c r="G1759" s="344"/>
      <c r="H1759" s="344"/>
      <c r="I1759" s="344"/>
      <c r="J1759" s="344"/>
      <c r="K1759" s="10"/>
      <c r="L1759" s="10"/>
      <c r="M1759" s="10"/>
      <c r="N1759" s="10"/>
      <c r="O1759" s="10"/>
      <c r="P1759" s="10"/>
      <c r="Q1759" s="10"/>
      <c r="R1759" s="10"/>
      <c r="S1759" s="10"/>
      <c r="T1759" s="10"/>
      <c r="U1759" s="10"/>
      <c r="V1759" s="10"/>
      <c r="W1759" s="10"/>
      <c r="X1759" s="10"/>
      <c r="Y1759" s="10"/>
    </row>
    <row r="1760" spans="1:25" ht="16.5" customHeight="1" x14ac:dyDescent="0.2">
      <c r="A1760" s="327" t="s">
        <v>120</v>
      </c>
      <c r="B1760" s="328"/>
      <c r="C1760" s="328"/>
      <c r="D1760" s="182" t="s">
        <v>121</v>
      </c>
      <c r="E1760" s="182" t="s">
        <v>122</v>
      </c>
      <c r="F1760" s="181" t="s">
        <v>123</v>
      </c>
      <c r="G1760" s="181" t="s">
        <v>124</v>
      </c>
      <c r="H1760" s="181" t="s">
        <v>128</v>
      </c>
      <c r="I1760" s="182" t="s">
        <v>125</v>
      </c>
      <c r="J1760" s="182" t="s">
        <v>113</v>
      </c>
      <c r="K1760" s="10"/>
      <c r="L1760" s="10"/>
      <c r="M1760" s="10"/>
      <c r="N1760" s="10"/>
      <c r="O1760" s="10"/>
      <c r="P1760" s="10"/>
      <c r="Q1760" s="10"/>
      <c r="R1760" s="10"/>
      <c r="S1760" s="10"/>
      <c r="T1760" s="10"/>
      <c r="U1760" s="10"/>
      <c r="V1760" s="10"/>
      <c r="W1760" s="10"/>
      <c r="X1760" s="10"/>
      <c r="Y1760" s="10"/>
    </row>
    <row r="1761" spans="1:25" ht="16.5" customHeight="1" x14ac:dyDescent="0.2">
      <c r="A1761" s="318" t="s">
        <v>820</v>
      </c>
      <c r="B1761" s="319"/>
      <c r="C1761" s="332"/>
      <c r="D1761" s="148"/>
      <c r="E1761" s="148"/>
      <c r="F1761" s="148"/>
      <c r="G1761" s="148">
        <f>6*35</f>
        <v>210</v>
      </c>
      <c r="H1761" s="148"/>
      <c r="I1761" s="148"/>
      <c r="J1761" s="170">
        <f>PRODUCT(D1761:H1761)-I1761</f>
        <v>210</v>
      </c>
      <c r="L1761" s="10"/>
      <c r="M1761" s="10"/>
      <c r="N1761" s="10"/>
      <c r="O1761" s="10"/>
      <c r="P1761" s="10"/>
      <c r="Q1761" s="10"/>
      <c r="R1761" s="10"/>
      <c r="S1761" s="10"/>
      <c r="T1761" s="10"/>
      <c r="U1761" s="10"/>
      <c r="V1761" s="10"/>
      <c r="W1761" s="10"/>
      <c r="X1761" s="10"/>
      <c r="Y1761" s="10"/>
    </row>
    <row r="1762" spans="1:25" ht="16.5" customHeight="1" x14ac:dyDescent="0.2">
      <c r="A1762" s="336" t="str">
        <f>"TOTAL - "&amp;'Planilha orçamentária'!F133</f>
        <v>TOTAL - UN</v>
      </c>
      <c r="B1762" s="337"/>
      <c r="C1762" s="337"/>
      <c r="D1762" s="337"/>
      <c r="E1762" s="337"/>
      <c r="F1762" s="337"/>
      <c r="G1762" s="337"/>
      <c r="H1762" s="337"/>
      <c r="I1762" s="338"/>
      <c r="J1762" s="149">
        <f>SUM(J1761)</f>
        <v>210</v>
      </c>
      <c r="K1762" s="10"/>
      <c r="L1762" s="10"/>
      <c r="M1762" s="10"/>
      <c r="N1762" s="10"/>
      <c r="O1762" s="10"/>
      <c r="P1762" s="10"/>
      <c r="Q1762" s="10"/>
      <c r="R1762" s="10"/>
      <c r="S1762" s="10"/>
      <c r="T1762" s="10"/>
      <c r="U1762" s="10"/>
      <c r="V1762" s="10"/>
      <c r="W1762" s="10"/>
      <c r="X1762" s="10"/>
      <c r="Y1762" s="10"/>
    </row>
    <row r="1763" spans="1:25" ht="16.5" customHeight="1" x14ac:dyDescent="0.2">
      <c r="A1763" s="184" t="str">
        <f>'Planilha orçamentária'!A134</f>
        <v>14.21</v>
      </c>
      <c r="B1763" s="343" t="str">
        <f>'Planilha orçamentária'!D134</f>
        <v>Eletroduto flexível corrugado, pvc, anti-chama, dn 32mm (1"), aplicado em alvenaria, inclusive rasgo</v>
      </c>
      <c r="C1763" s="344"/>
      <c r="D1763" s="344"/>
      <c r="E1763" s="344"/>
      <c r="F1763" s="344"/>
      <c r="G1763" s="344"/>
      <c r="H1763" s="344"/>
      <c r="I1763" s="344"/>
      <c r="J1763" s="344"/>
      <c r="K1763" s="10"/>
      <c r="L1763" s="10"/>
      <c r="M1763" s="10"/>
      <c r="N1763" s="10"/>
      <c r="O1763" s="10"/>
      <c r="P1763" s="10"/>
      <c r="Q1763" s="10"/>
      <c r="R1763" s="10"/>
      <c r="S1763" s="10"/>
      <c r="T1763" s="10"/>
      <c r="U1763" s="10"/>
      <c r="V1763" s="10"/>
      <c r="W1763" s="10"/>
      <c r="X1763" s="10"/>
      <c r="Y1763" s="10"/>
    </row>
    <row r="1764" spans="1:25" ht="16.5" customHeight="1" x14ac:dyDescent="0.2">
      <c r="A1764" s="327" t="s">
        <v>120</v>
      </c>
      <c r="B1764" s="328"/>
      <c r="C1764" s="328"/>
      <c r="D1764" s="182" t="s">
        <v>121</v>
      </c>
      <c r="E1764" s="182" t="s">
        <v>122</v>
      </c>
      <c r="F1764" s="181" t="s">
        <v>123</v>
      </c>
      <c r="G1764" s="181" t="s">
        <v>124</v>
      </c>
      <c r="H1764" s="181" t="s">
        <v>128</v>
      </c>
      <c r="I1764" s="182" t="s">
        <v>125</v>
      </c>
      <c r="J1764" s="182" t="s">
        <v>113</v>
      </c>
      <c r="K1764" s="10"/>
      <c r="L1764" s="10"/>
      <c r="M1764" s="10"/>
      <c r="N1764" s="10"/>
      <c r="O1764" s="10"/>
      <c r="P1764" s="10"/>
      <c r="Q1764" s="10"/>
      <c r="R1764" s="10"/>
      <c r="S1764" s="10"/>
      <c r="T1764" s="10"/>
      <c r="U1764" s="10"/>
      <c r="V1764" s="10"/>
      <c r="W1764" s="10"/>
      <c r="X1764" s="10"/>
      <c r="Y1764" s="10"/>
    </row>
    <row r="1765" spans="1:25" ht="16.5" customHeight="1" x14ac:dyDescent="0.2">
      <c r="A1765" s="318" t="s">
        <v>820</v>
      </c>
      <c r="B1765" s="319"/>
      <c r="C1765" s="332"/>
      <c r="D1765" s="148"/>
      <c r="E1765" s="148"/>
      <c r="F1765" s="148"/>
      <c r="G1765" s="148">
        <v>2450</v>
      </c>
      <c r="H1765" s="148"/>
      <c r="I1765" s="148"/>
      <c r="J1765" s="170">
        <f>PRODUCT(D1765:H1765)-I1765</f>
        <v>2450</v>
      </c>
      <c r="L1765" s="10"/>
      <c r="M1765" s="10"/>
      <c r="N1765" s="10"/>
      <c r="O1765" s="10"/>
      <c r="P1765" s="10"/>
      <c r="Q1765" s="10"/>
      <c r="R1765" s="10"/>
      <c r="S1765" s="10"/>
      <c r="T1765" s="10"/>
      <c r="U1765" s="10"/>
      <c r="V1765" s="10"/>
      <c r="W1765" s="10"/>
      <c r="X1765" s="10"/>
      <c r="Y1765" s="10"/>
    </row>
    <row r="1766" spans="1:25" ht="16.5" customHeight="1" x14ac:dyDescent="0.2">
      <c r="A1766" s="336" t="str">
        <f>"TOTAL - "&amp;'Planilha orçamentária'!F134</f>
        <v>TOTAL - UN</v>
      </c>
      <c r="B1766" s="337"/>
      <c r="C1766" s="337"/>
      <c r="D1766" s="337"/>
      <c r="E1766" s="337"/>
      <c r="F1766" s="337"/>
      <c r="G1766" s="337"/>
      <c r="H1766" s="337"/>
      <c r="I1766" s="338"/>
      <c r="J1766" s="149">
        <f>SUM(J1765)</f>
        <v>2450</v>
      </c>
      <c r="K1766" s="10"/>
      <c r="L1766" s="10"/>
      <c r="M1766" s="10"/>
      <c r="N1766" s="10"/>
      <c r="O1766" s="10"/>
      <c r="P1766" s="10"/>
      <c r="Q1766" s="10"/>
      <c r="R1766" s="10"/>
      <c r="S1766" s="10"/>
      <c r="T1766" s="10"/>
      <c r="U1766" s="10"/>
      <c r="V1766" s="10"/>
      <c r="W1766" s="10"/>
      <c r="X1766" s="10"/>
      <c r="Y1766" s="10"/>
    </row>
    <row r="1767" spans="1:25" ht="16.5" customHeight="1" x14ac:dyDescent="0.2">
      <c r="A1767" s="35">
        <f>'Planilha orçamentária'!A136</f>
        <v>15</v>
      </c>
      <c r="B1767" s="406" t="str">
        <f>'Planilha orçamentária'!D136</f>
        <v>INSTALAÇÕES DE COMBATE A INCÊNDIO E PÂNICO</v>
      </c>
      <c r="C1767" s="407"/>
      <c r="D1767" s="407"/>
      <c r="E1767" s="407"/>
      <c r="F1767" s="407"/>
      <c r="G1767" s="407"/>
      <c r="H1767" s="407"/>
      <c r="I1767" s="407"/>
      <c r="J1767" s="408"/>
    </row>
    <row r="1768" spans="1:25" ht="16.5" customHeight="1" x14ac:dyDescent="0.2">
      <c r="A1768" s="184" t="str">
        <f>'Planilha orçamentária'!A137</f>
        <v>15.1</v>
      </c>
      <c r="B1768" s="343" t="str">
        <f>'Planilha orçamentária'!D137</f>
        <v>Extintor de incêndio tipo pó químico 2-A:20-B:C, capacidade 6 kg</v>
      </c>
      <c r="C1768" s="344"/>
      <c r="D1768" s="344"/>
      <c r="E1768" s="344"/>
      <c r="F1768" s="344"/>
      <c r="G1768" s="344"/>
      <c r="H1768" s="344"/>
      <c r="I1768" s="344"/>
      <c r="J1768" s="344"/>
      <c r="K1768" s="10"/>
      <c r="L1768" s="10"/>
      <c r="M1768" s="10"/>
      <c r="N1768" s="10"/>
      <c r="O1768" s="10"/>
      <c r="P1768" s="10"/>
      <c r="Q1768" s="10"/>
      <c r="R1768" s="10"/>
      <c r="S1768" s="10"/>
      <c r="T1768" s="10"/>
      <c r="U1768" s="10"/>
      <c r="V1768" s="10"/>
      <c r="W1768" s="10"/>
      <c r="X1768" s="10"/>
      <c r="Y1768" s="10"/>
    </row>
    <row r="1769" spans="1:25" ht="16.5" customHeight="1" x14ac:dyDescent="0.2">
      <c r="A1769" s="327" t="s">
        <v>120</v>
      </c>
      <c r="B1769" s="328"/>
      <c r="C1769" s="328"/>
      <c r="D1769" s="182" t="s">
        <v>121</v>
      </c>
      <c r="E1769" s="182" t="s">
        <v>122</v>
      </c>
      <c r="F1769" s="181" t="s">
        <v>123</v>
      </c>
      <c r="G1769" s="181" t="s">
        <v>124</v>
      </c>
      <c r="H1769" s="181" t="s">
        <v>128</v>
      </c>
      <c r="I1769" s="182" t="s">
        <v>125</v>
      </c>
      <c r="J1769" s="182" t="s">
        <v>113</v>
      </c>
      <c r="K1769" s="10"/>
      <c r="L1769" s="10"/>
      <c r="M1769" s="10"/>
      <c r="N1769" s="10"/>
      <c r="O1769" s="10"/>
      <c r="P1769" s="10"/>
      <c r="Q1769" s="10"/>
      <c r="R1769" s="10"/>
      <c r="S1769" s="10"/>
      <c r="T1769" s="10"/>
      <c r="U1769" s="10"/>
      <c r="V1769" s="10"/>
      <c r="W1769" s="10"/>
      <c r="X1769" s="10"/>
      <c r="Y1769" s="10"/>
    </row>
    <row r="1770" spans="1:25" s="166" customFormat="1" ht="16.5" customHeight="1" x14ac:dyDescent="0.2">
      <c r="A1770" s="318" t="s">
        <v>822</v>
      </c>
      <c r="B1770" s="319"/>
      <c r="C1770" s="332"/>
      <c r="D1770" s="148"/>
      <c r="E1770" s="148"/>
      <c r="F1770" s="148"/>
      <c r="G1770" s="148">
        <v>28</v>
      </c>
      <c r="H1770" s="148"/>
      <c r="I1770" s="148"/>
      <c r="J1770" s="170">
        <f>PRODUCT(D1770:H1770)-I1770</f>
        <v>28</v>
      </c>
      <c r="L1770" s="10"/>
      <c r="M1770" s="10"/>
      <c r="N1770" s="10"/>
      <c r="O1770" s="10"/>
      <c r="P1770" s="10"/>
      <c r="Q1770" s="10"/>
      <c r="R1770" s="10"/>
      <c r="S1770" s="10"/>
      <c r="T1770" s="10"/>
      <c r="U1770" s="10"/>
      <c r="V1770" s="10"/>
      <c r="W1770" s="10"/>
      <c r="X1770" s="10"/>
      <c r="Y1770" s="10"/>
    </row>
    <row r="1771" spans="1:25" ht="16.5" customHeight="1" x14ac:dyDescent="0.2">
      <c r="A1771" s="336" t="str">
        <f>"TOTAL - "&amp;'Planilha orçamentária'!F137</f>
        <v>TOTAL - PÇ</v>
      </c>
      <c r="B1771" s="337"/>
      <c r="C1771" s="337"/>
      <c r="D1771" s="337"/>
      <c r="E1771" s="337"/>
      <c r="F1771" s="337"/>
      <c r="G1771" s="337"/>
      <c r="H1771" s="337"/>
      <c r="I1771" s="338"/>
      <c r="J1771" s="149">
        <f>SUM(J1770)</f>
        <v>28</v>
      </c>
      <c r="K1771" s="10"/>
      <c r="L1771" s="10"/>
      <c r="M1771" s="10"/>
      <c r="N1771" s="10"/>
      <c r="O1771" s="10"/>
      <c r="P1771" s="10"/>
      <c r="Q1771" s="10"/>
      <c r="R1771" s="10"/>
      <c r="S1771" s="10"/>
      <c r="T1771" s="10"/>
      <c r="U1771" s="10"/>
      <c r="V1771" s="10"/>
      <c r="W1771" s="10"/>
      <c r="X1771" s="10"/>
      <c r="Y1771" s="10"/>
    </row>
    <row r="1772" spans="1:25" ht="16.5" customHeight="1" x14ac:dyDescent="0.2">
      <c r="A1772" s="35">
        <f>'Planilha orçamentária'!A139</f>
        <v>16</v>
      </c>
      <c r="B1772" s="406" t="str">
        <f>'Planilha orçamentária'!D139</f>
        <v>ILUMINAÇÃO DE EMERGÊNCIA</v>
      </c>
      <c r="C1772" s="407"/>
      <c r="D1772" s="407"/>
      <c r="E1772" s="407"/>
      <c r="F1772" s="407"/>
      <c r="G1772" s="407"/>
      <c r="H1772" s="407"/>
      <c r="I1772" s="407"/>
      <c r="J1772" s="408"/>
    </row>
    <row r="1773" spans="1:25" ht="16.5" customHeight="1" x14ac:dyDescent="0.2">
      <c r="A1773" s="184" t="str">
        <f>'Planilha orçamentária'!A140</f>
        <v>16.1</v>
      </c>
      <c r="B1773" s="343" t="str">
        <f>'Planilha orçamentária'!D140</f>
        <v>Luminária de emergência, com 30 lâmpadas led de 2 w, sem reator - fornecimento e instalação. Af_02/2020</v>
      </c>
      <c r="C1773" s="344"/>
      <c r="D1773" s="344"/>
      <c r="E1773" s="344"/>
      <c r="F1773" s="344"/>
      <c r="G1773" s="344"/>
      <c r="H1773" s="344"/>
      <c r="I1773" s="344"/>
      <c r="J1773" s="344"/>
      <c r="K1773" s="10"/>
      <c r="L1773" s="10"/>
      <c r="M1773" s="10"/>
      <c r="N1773" s="10"/>
      <c r="O1773" s="10"/>
      <c r="P1773" s="10"/>
      <c r="Q1773" s="10"/>
      <c r="R1773" s="10"/>
      <c r="S1773" s="10"/>
      <c r="T1773" s="10"/>
      <c r="U1773" s="10"/>
      <c r="V1773" s="10"/>
      <c r="W1773" s="10"/>
      <c r="X1773" s="10"/>
      <c r="Y1773" s="10"/>
    </row>
    <row r="1774" spans="1:25" ht="16.5" customHeight="1" x14ac:dyDescent="0.2">
      <c r="A1774" s="327" t="s">
        <v>120</v>
      </c>
      <c r="B1774" s="328"/>
      <c r="C1774" s="328"/>
      <c r="D1774" s="182" t="s">
        <v>121</v>
      </c>
      <c r="E1774" s="182" t="s">
        <v>122</v>
      </c>
      <c r="F1774" s="181" t="s">
        <v>123</v>
      </c>
      <c r="G1774" s="181" t="s">
        <v>124</v>
      </c>
      <c r="H1774" s="181" t="s">
        <v>128</v>
      </c>
      <c r="I1774" s="182" t="s">
        <v>125</v>
      </c>
      <c r="J1774" s="182" t="s">
        <v>113</v>
      </c>
      <c r="K1774" s="10"/>
      <c r="L1774" s="10"/>
      <c r="M1774" s="10"/>
      <c r="N1774" s="10"/>
      <c r="O1774" s="10"/>
      <c r="P1774" s="10"/>
      <c r="Q1774" s="10"/>
      <c r="R1774" s="10"/>
      <c r="S1774" s="10"/>
      <c r="T1774" s="10"/>
      <c r="U1774" s="10"/>
      <c r="V1774" s="10"/>
      <c r="W1774" s="10"/>
      <c r="X1774" s="10"/>
      <c r="Y1774" s="10"/>
    </row>
    <row r="1775" spans="1:25" ht="16.5" customHeight="1" x14ac:dyDescent="0.2">
      <c r="A1775" s="433" t="s">
        <v>822</v>
      </c>
      <c r="B1775" s="434"/>
      <c r="C1775" s="435"/>
      <c r="D1775" s="148"/>
      <c r="E1775" s="148"/>
      <c r="F1775" s="148"/>
      <c r="G1775" s="148">
        <f>13*7</f>
        <v>91</v>
      </c>
      <c r="H1775" s="148"/>
      <c r="I1775" s="148"/>
      <c r="J1775" s="170">
        <f>PRODUCT(D1775:H1775)-I1775</f>
        <v>91</v>
      </c>
      <c r="L1775" s="10"/>
      <c r="M1775" s="10"/>
      <c r="N1775" s="10"/>
      <c r="O1775" s="10"/>
      <c r="P1775" s="10"/>
      <c r="Q1775" s="10"/>
      <c r="R1775" s="10"/>
      <c r="S1775" s="10"/>
      <c r="T1775" s="10"/>
      <c r="U1775" s="10"/>
      <c r="V1775" s="10"/>
      <c r="W1775" s="10"/>
      <c r="X1775" s="10"/>
      <c r="Y1775" s="10"/>
    </row>
    <row r="1776" spans="1:25" ht="16.5" customHeight="1" x14ac:dyDescent="0.2">
      <c r="A1776" s="336" t="str">
        <f>"TOTAL - "&amp;'Planilha orçamentária'!F140</f>
        <v>TOTAL - UN</v>
      </c>
      <c r="B1776" s="337"/>
      <c r="C1776" s="337"/>
      <c r="D1776" s="337"/>
      <c r="E1776" s="337"/>
      <c r="F1776" s="337"/>
      <c r="G1776" s="337"/>
      <c r="H1776" s="337"/>
      <c r="I1776" s="338"/>
      <c r="J1776" s="149">
        <f>SUM(J1775)</f>
        <v>91</v>
      </c>
      <c r="K1776" s="10"/>
      <c r="L1776" s="10"/>
      <c r="M1776" s="10"/>
      <c r="N1776" s="10"/>
      <c r="O1776" s="10"/>
      <c r="P1776" s="10"/>
      <c r="Q1776" s="10"/>
      <c r="R1776" s="10"/>
      <c r="S1776" s="10"/>
      <c r="T1776" s="10"/>
      <c r="U1776" s="10"/>
      <c r="V1776" s="10"/>
      <c r="W1776" s="10"/>
      <c r="X1776" s="10"/>
      <c r="Y1776" s="10"/>
    </row>
    <row r="1777" spans="1:25" ht="16.5" customHeight="1" x14ac:dyDescent="0.2">
      <c r="A1777" s="35">
        <f>'Planilha orçamentária'!A142</f>
        <v>17</v>
      </c>
      <c r="B1777" s="406" t="str">
        <f>'Planilha orçamentária'!D142</f>
        <v>PLACA DE SINALIZAÇÃO DE EMERGÊNCIA</v>
      </c>
      <c r="C1777" s="407"/>
      <c r="D1777" s="407"/>
      <c r="E1777" s="407"/>
      <c r="F1777" s="407"/>
      <c r="G1777" s="407"/>
      <c r="H1777" s="407"/>
      <c r="I1777" s="407"/>
      <c r="J1777" s="408"/>
    </row>
    <row r="1778" spans="1:25" ht="16.5" customHeight="1" x14ac:dyDescent="0.2">
      <c r="A1778" s="184" t="str">
        <f>'Planilha orçamentária'!A144</f>
        <v>17.1</v>
      </c>
      <c r="B1778" s="343" t="str">
        <f>'Planilha orçamentária'!D144</f>
        <v>Placa fotoluminescente "S8" - 380 x 190 mm (saída rampa esquerda)</v>
      </c>
      <c r="C1778" s="344"/>
      <c r="D1778" s="344"/>
      <c r="E1778" s="344"/>
      <c r="F1778" s="344"/>
      <c r="G1778" s="344"/>
      <c r="H1778" s="344"/>
      <c r="I1778" s="344"/>
      <c r="J1778" s="344"/>
      <c r="K1778" s="10"/>
      <c r="L1778" s="10"/>
      <c r="M1778" s="10"/>
      <c r="N1778" s="10"/>
      <c r="O1778" s="10"/>
      <c r="P1778" s="10"/>
      <c r="Q1778" s="10"/>
      <c r="R1778" s="10"/>
      <c r="S1778" s="10"/>
      <c r="T1778" s="10"/>
      <c r="U1778" s="10"/>
      <c r="V1778" s="10"/>
      <c r="W1778" s="10"/>
      <c r="X1778" s="10"/>
      <c r="Y1778" s="10"/>
    </row>
    <row r="1779" spans="1:25" ht="16.5" customHeight="1" x14ac:dyDescent="0.2">
      <c r="A1779" s="327" t="s">
        <v>120</v>
      </c>
      <c r="B1779" s="328"/>
      <c r="C1779" s="328"/>
      <c r="D1779" s="182" t="s">
        <v>121</v>
      </c>
      <c r="E1779" s="182" t="s">
        <v>122</v>
      </c>
      <c r="F1779" s="181" t="s">
        <v>123</v>
      </c>
      <c r="G1779" s="181" t="s">
        <v>124</v>
      </c>
      <c r="H1779" s="181" t="s">
        <v>128</v>
      </c>
      <c r="I1779" s="182" t="s">
        <v>125</v>
      </c>
      <c r="J1779" s="182" t="s">
        <v>113</v>
      </c>
      <c r="K1779" s="10"/>
      <c r="L1779" s="10"/>
      <c r="M1779" s="10"/>
      <c r="N1779" s="10"/>
      <c r="O1779" s="10"/>
      <c r="P1779" s="10"/>
      <c r="Q1779" s="10"/>
      <c r="R1779" s="10"/>
      <c r="S1779" s="10"/>
      <c r="T1779" s="10"/>
      <c r="U1779" s="10"/>
      <c r="V1779" s="10"/>
      <c r="W1779" s="10"/>
      <c r="X1779" s="10"/>
      <c r="Y1779" s="10"/>
    </row>
    <row r="1780" spans="1:25" ht="25.5" customHeight="1" x14ac:dyDescent="0.2">
      <c r="A1780" s="433" t="s">
        <v>822</v>
      </c>
      <c r="B1780" s="434"/>
      <c r="C1780" s="435"/>
      <c r="D1780" s="148"/>
      <c r="E1780" s="148"/>
      <c r="F1780" s="148"/>
      <c r="G1780" s="148">
        <v>21</v>
      </c>
      <c r="H1780" s="148"/>
      <c r="I1780" s="148"/>
      <c r="J1780" s="170">
        <f>PRODUCT(D1780:H1780)-I1780</f>
        <v>21</v>
      </c>
      <c r="L1780" s="10"/>
      <c r="M1780" s="10"/>
      <c r="N1780" s="10"/>
      <c r="O1780" s="10"/>
      <c r="P1780" s="10"/>
      <c r="Q1780" s="10"/>
      <c r="R1780" s="10"/>
      <c r="S1780" s="10"/>
      <c r="T1780" s="10"/>
      <c r="U1780" s="10"/>
      <c r="V1780" s="10"/>
      <c r="W1780" s="10"/>
      <c r="X1780" s="10"/>
      <c r="Y1780" s="10"/>
    </row>
    <row r="1781" spans="1:25" ht="16.5" customHeight="1" x14ac:dyDescent="0.2">
      <c r="A1781" s="336" t="str">
        <f>"TOTAL - "&amp;'Planilha orçamentária'!F144</f>
        <v>TOTAL - UN</v>
      </c>
      <c r="B1781" s="337"/>
      <c r="C1781" s="337"/>
      <c r="D1781" s="337"/>
      <c r="E1781" s="337"/>
      <c r="F1781" s="337"/>
      <c r="G1781" s="337"/>
      <c r="H1781" s="337"/>
      <c r="I1781" s="338"/>
      <c r="J1781" s="149">
        <f>SUM(J1780)</f>
        <v>21</v>
      </c>
      <c r="K1781" s="10"/>
      <c r="L1781" s="10"/>
      <c r="M1781" s="10"/>
      <c r="N1781" s="10"/>
      <c r="O1781" s="10"/>
      <c r="P1781" s="10"/>
      <c r="Q1781" s="10"/>
      <c r="R1781" s="10"/>
      <c r="S1781" s="10"/>
      <c r="T1781" s="10"/>
      <c r="U1781" s="10"/>
      <c r="V1781" s="10"/>
      <c r="W1781" s="10"/>
      <c r="X1781" s="10"/>
      <c r="Y1781" s="10"/>
    </row>
    <row r="1782" spans="1:25" ht="16.5" customHeight="1" x14ac:dyDescent="0.2">
      <c r="A1782" s="184" t="str">
        <f>'Planilha orçamentária'!A145</f>
        <v>17.2</v>
      </c>
      <c r="B1782" s="343" t="str">
        <f>'Planilha orçamentária'!D145</f>
        <v>Placa fotoluminescente "S12" - 380 x 190 mm (saída)</v>
      </c>
      <c r="C1782" s="344"/>
      <c r="D1782" s="344"/>
      <c r="E1782" s="344"/>
      <c r="F1782" s="344"/>
      <c r="G1782" s="344"/>
      <c r="H1782" s="344"/>
      <c r="I1782" s="344"/>
      <c r="J1782" s="344"/>
      <c r="K1782" s="10"/>
      <c r="L1782" s="10"/>
      <c r="M1782" s="10"/>
      <c r="N1782" s="10"/>
      <c r="O1782" s="10"/>
      <c r="P1782" s="10"/>
      <c r="Q1782" s="10"/>
      <c r="R1782" s="10"/>
      <c r="S1782" s="10"/>
      <c r="T1782" s="10"/>
      <c r="U1782" s="10"/>
      <c r="V1782" s="10"/>
      <c r="W1782" s="10"/>
      <c r="X1782" s="10"/>
      <c r="Y1782" s="10"/>
    </row>
    <row r="1783" spans="1:25" ht="16.5" customHeight="1" x14ac:dyDescent="0.2">
      <c r="A1783" s="327" t="s">
        <v>120</v>
      </c>
      <c r="B1783" s="328"/>
      <c r="C1783" s="328"/>
      <c r="D1783" s="182" t="s">
        <v>121</v>
      </c>
      <c r="E1783" s="182" t="s">
        <v>122</v>
      </c>
      <c r="F1783" s="181" t="s">
        <v>123</v>
      </c>
      <c r="G1783" s="181" t="s">
        <v>124</v>
      </c>
      <c r="H1783" s="181" t="s">
        <v>128</v>
      </c>
      <c r="I1783" s="182" t="s">
        <v>125</v>
      </c>
      <c r="J1783" s="182" t="s">
        <v>113</v>
      </c>
      <c r="K1783" s="10"/>
      <c r="L1783" s="10"/>
      <c r="M1783" s="10"/>
      <c r="N1783" s="10"/>
      <c r="O1783" s="10"/>
      <c r="P1783" s="10"/>
      <c r="Q1783" s="10"/>
      <c r="R1783" s="10"/>
      <c r="S1783" s="10"/>
      <c r="T1783" s="10"/>
      <c r="U1783" s="10"/>
      <c r="V1783" s="10"/>
      <c r="W1783" s="10"/>
      <c r="X1783" s="10"/>
      <c r="Y1783" s="10"/>
    </row>
    <row r="1784" spans="1:25" ht="25.5" customHeight="1" x14ac:dyDescent="0.2">
      <c r="A1784" s="433" t="s">
        <v>822</v>
      </c>
      <c r="B1784" s="434"/>
      <c r="C1784" s="435"/>
      <c r="D1784" s="148"/>
      <c r="E1784" s="148"/>
      <c r="F1784" s="148"/>
      <c r="G1784" s="148">
        <v>7</v>
      </c>
      <c r="H1784" s="148"/>
      <c r="I1784" s="148"/>
      <c r="J1784" s="170">
        <f>PRODUCT(D1784:H1784)-I1784</f>
        <v>7</v>
      </c>
      <c r="L1784" s="10"/>
      <c r="M1784" s="10"/>
      <c r="N1784" s="10"/>
      <c r="O1784" s="10"/>
      <c r="P1784" s="10"/>
      <c r="Q1784" s="10"/>
      <c r="R1784" s="10"/>
      <c r="S1784" s="10"/>
      <c r="T1784" s="10"/>
      <c r="U1784" s="10"/>
      <c r="V1784" s="10"/>
      <c r="W1784" s="10"/>
      <c r="X1784" s="10"/>
      <c r="Y1784" s="10"/>
    </row>
    <row r="1785" spans="1:25" ht="16.5" customHeight="1" x14ac:dyDescent="0.2">
      <c r="A1785" s="336" t="str">
        <f>"TOTAL - "&amp;'Planilha orçamentária'!F145</f>
        <v>TOTAL - UN</v>
      </c>
      <c r="B1785" s="337"/>
      <c r="C1785" s="337"/>
      <c r="D1785" s="337"/>
      <c r="E1785" s="337"/>
      <c r="F1785" s="337"/>
      <c r="G1785" s="337"/>
      <c r="H1785" s="337"/>
      <c r="I1785" s="338"/>
      <c r="J1785" s="149">
        <f>SUM(J1784)</f>
        <v>7</v>
      </c>
      <c r="K1785" s="10"/>
      <c r="L1785" s="10"/>
      <c r="M1785" s="10"/>
      <c r="N1785" s="10"/>
      <c r="O1785" s="10"/>
      <c r="P1785" s="10"/>
      <c r="Q1785" s="10"/>
      <c r="R1785" s="10"/>
      <c r="S1785" s="10"/>
      <c r="T1785" s="10"/>
      <c r="U1785" s="10"/>
      <c r="V1785" s="10"/>
      <c r="W1785" s="10"/>
      <c r="X1785" s="10"/>
      <c r="Y1785" s="10"/>
    </row>
    <row r="1786" spans="1:25" ht="16.5" customHeight="1" x14ac:dyDescent="0.2">
      <c r="A1786" s="184" t="str">
        <f>'Planilha orçamentária'!A146</f>
        <v>17.3</v>
      </c>
      <c r="B1786" s="343" t="str">
        <f>'Planilha orçamentária'!D146</f>
        <v>Placa para equipamentos , tipo E5, dimensões 300x300mm</v>
      </c>
      <c r="C1786" s="344"/>
      <c r="D1786" s="344"/>
      <c r="E1786" s="344"/>
      <c r="F1786" s="344"/>
      <c r="G1786" s="344"/>
      <c r="H1786" s="344"/>
      <c r="I1786" s="344"/>
      <c r="J1786" s="344"/>
      <c r="K1786" s="10"/>
      <c r="L1786" s="10"/>
      <c r="M1786" s="10"/>
      <c r="N1786" s="10"/>
      <c r="O1786" s="10"/>
      <c r="P1786" s="10"/>
      <c r="Q1786" s="10"/>
      <c r="R1786" s="10"/>
      <c r="S1786" s="10"/>
      <c r="T1786" s="10"/>
      <c r="U1786" s="10"/>
      <c r="V1786" s="10"/>
      <c r="W1786" s="10"/>
      <c r="X1786" s="10"/>
      <c r="Y1786" s="10"/>
    </row>
    <row r="1787" spans="1:25" ht="16.5" customHeight="1" x14ac:dyDescent="0.2">
      <c r="A1787" s="333" t="s">
        <v>120</v>
      </c>
      <c r="B1787" s="334"/>
      <c r="C1787" s="335"/>
      <c r="D1787" s="182" t="s">
        <v>121</v>
      </c>
      <c r="E1787" s="182" t="s">
        <v>122</v>
      </c>
      <c r="F1787" s="181" t="s">
        <v>123</v>
      </c>
      <c r="G1787" s="181" t="s">
        <v>124</v>
      </c>
      <c r="H1787" s="181" t="s">
        <v>128</v>
      </c>
      <c r="I1787" s="182" t="s">
        <v>125</v>
      </c>
      <c r="J1787" s="182" t="s">
        <v>113</v>
      </c>
      <c r="K1787" s="10"/>
      <c r="L1787" s="10"/>
      <c r="M1787" s="10"/>
      <c r="N1787" s="10"/>
      <c r="O1787" s="10"/>
      <c r="P1787" s="10"/>
      <c r="Q1787" s="10"/>
      <c r="R1787" s="10"/>
      <c r="S1787" s="10"/>
      <c r="T1787" s="10"/>
      <c r="U1787" s="10"/>
      <c r="V1787" s="10"/>
      <c r="W1787" s="10"/>
      <c r="X1787" s="10"/>
      <c r="Y1787" s="10"/>
    </row>
    <row r="1788" spans="1:25" ht="25.5" customHeight="1" x14ac:dyDescent="0.2">
      <c r="A1788" s="433" t="s">
        <v>822</v>
      </c>
      <c r="B1788" s="434"/>
      <c r="C1788" s="435"/>
      <c r="D1788" s="148"/>
      <c r="E1788" s="148"/>
      <c r="F1788" s="148"/>
      <c r="G1788" s="148">
        <v>28</v>
      </c>
      <c r="H1788" s="148"/>
      <c r="I1788" s="148"/>
      <c r="J1788" s="170">
        <f>PRODUCT(D1788:H1788)-I1788</f>
        <v>28</v>
      </c>
      <c r="L1788" s="10"/>
      <c r="M1788" s="10"/>
      <c r="N1788" s="10"/>
      <c r="O1788" s="10"/>
      <c r="P1788" s="10"/>
      <c r="Q1788" s="10"/>
      <c r="R1788" s="10"/>
      <c r="S1788" s="10"/>
      <c r="T1788" s="10"/>
      <c r="U1788" s="10"/>
      <c r="V1788" s="10"/>
      <c r="W1788" s="10"/>
      <c r="X1788" s="10"/>
      <c r="Y1788" s="10"/>
    </row>
    <row r="1789" spans="1:25" ht="16.5" customHeight="1" x14ac:dyDescent="0.2">
      <c r="A1789" s="336" t="str">
        <f>"TOTAL - "&amp;'Planilha orçamentária'!F146</f>
        <v>TOTAL - UN</v>
      </c>
      <c r="B1789" s="337"/>
      <c r="C1789" s="337"/>
      <c r="D1789" s="337"/>
      <c r="E1789" s="337"/>
      <c r="F1789" s="337"/>
      <c r="G1789" s="337"/>
      <c r="H1789" s="337"/>
      <c r="I1789" s="338"/>
      <c r="J1789" s="149">
        <f>SUM(J1788)</f>
        <v>28</v>
      </c>
      <c r="K1789" s="10"/>
      <c r="L1789" s="10"/>
      <c r="M1789" s="10"/>
      <c r="N1789" s="10"/>
      <c r="O1789" s="10"/>
      <c r="P1789" s="10"/>
      <c r="Q1789" s="10"/>
      <c r="R1789" s="10"/>
      <c r="S1789" s="10"/>
      <c r="T1789" s="10"/>
      <c r="U1789" s="10"/>
      <c r="V1789" s="10"/>
      <c r="W1789" s="10"/>
      <c r="X1789" s="10"/>
      <c r="Y1789" s="10"/>
    </row>
    <row r="1790" spans="1:25" ht="16.5" customHeight="1" x14ac:dyDescent="0.2">
      <c r="A1790" s="184" t="str">
        <f>'Planilha orçamentária'!A147</f>
        <v>17.4</v>
      </c>
      <c r="B1790" s="343" t="str">
        <f>'Planilha orçamentária'!D147</f>
        <v>Placa complementar, tipo M1, dimensões 400x600mm</v>
      </c>
      <c r="C1790" s="344"/>
      <c r="D1790" s="344"/>
      <c r="E1790" s="344"/>
      <c r="F1790" s="344"/>
      <c r="G1790" s="344"/>
      <c r="H1790" s="344"/>
      <c r="I1790" s="344"/>
      <c r="J1790" s="344"/>
      <c r="K1790" s="10"/>
      <c r="L1790" s="10"/>
      <c r="M1790" s="10"/>
      <c r="N1790" s="10"/>
      <c r="O1790" s="10"/>
      <c r="P1790" s="10"/>
      <c r="Q1790" s="10"/>
      <c r="R1790" s="10"/>
      <c r="S1790" s="10"/>
      <c r="T1790" s="10"/>
      <c r="U1790" s="10"/>
      <c r="V1790" s="10"/>
      <c r="W1790" s="10"/>
      <c r="X1790" s="10"/>
      <c r="Y1790" s="10"/>
    </row>
    <row r="1791" spans="1:25" ht="16.5" customHeight="1" x14ac:dyDescent="0.2">
      <c r="A1791" s="327" t="s">
        <v>120</v>
      </c>
      <c r="B1791" s="328"/>
      <c r="C1791" s="328"/>
      <c r="D1791" s="182" t="s">
        <v>121</v>
      </c>
      <c r="E1791" s="182" t="s">
        <v>122</v>
      </c>
      <c r="F1791" s="181" t="s">
        <v>123</v>
      </c>
      <c r="G1791" s="181" t="s">
        <v>124</v>
      </c>
      <c r="H1791" s="181" t="s">
        <v>128</v>
      </c>
      <c r="I1791" s="182" t="s">
        <v>133</v>
      </c>
      <c r="J1791" s="182" t="s">
        <v>113</v>
      </c>
      <c r="K1791" s="10"/>
      <c r="L1791" s="10"/>
      <c r="M1791" s="10"/>
      <c r="N1791" s="10"/>
      <c r="O1791" s="10"/>
      <c r="P1791" s="10"/>
      <c r="Q1791" s="10"/>
      <c r="R1791" s="10"/>
      <c r="S1791" s="10"/>
      <c r="T1791" s="10"/>
      <c r="U1791" s="10"/>
      <c r="V1791" s="10"/>
      <c r="W1791" s="10"/>
      <c r="X1791" s="10"/>
      <c r="Y1791" s="10"/>
    </row>
    <row r="1792" spans="1:25" ht="25.5" customHeight="1" x14ac:dyDescent="0.2">
      <c r="A1792" s="433" t="s">
        <v>822</v>
      </c>
      <c r="B1792" s="434"/>
      <c r="C1792" s="435"/>
      <c r="D1792" s="148"/>
      <c r="E1792" s="148"/>
      <c r="F1792" s="148"/>
      <c r="G1792" s="148">
        <v>7</v>
      </c>
      <c r="H1792" s="148"/>
      <c r="I1792" s="148"/>
      <c r="J1792" s="170">
        <f>PRODUCT(D1792:H1792)-I1792</f>
        <v>7</v>
      </c>
      <c r="L1792" s="10"/>
      <c r="M1792" s="10"/>
      <c r="N1792" s="10"/>
      <c r="O1792" s="10"/>
      <c r="P1792" s="10"/>
      <c r="Q1792" s="10"/>
      <c r="R1792" s="10"/>
      <c r="S1792" s="10"/>
      <c r="T1792" s="10"/>
      <c r="U1792" s="10"/>
      <c r="V1792" s="10"/>
      <c r="W1792" s="10"/>
      <c r="X1792" s="10"/>
      <c r="Y1792" s="10"/>
    </row>
    <row r="1793" spans="1:25" ht="16.5" customHeight="1" x14ac:dyDescent="0.2">
      <c r="A1793" s="336" t="str">
        <f>"TOTAL - "&amp;'Planilha orçamentária'!F147</f>
        <v>TOTAL - UN</v>
      </c>
      <c r="B1793" s="337"/>
      <c r="C1793" s="337"/>
      <c r="D1793" s="337"/>
      <c r="E1793" s="337"/>
      <c r="F1793" s="337"/>
      <c r="G1793" s="337"/>
      <c r="H1793" s="337"/>
      <c r="I1793" s="338"/>
      <c r="J1793" s="149">
        <f>SUM(J1792)</f>
        <v>7</v>
      </c>
      <c r="K1793" s="10"/>
      <c r="L1793" s="10"/>
      <c r="M1793" s="10"/>
      <c r="N1793" s="10"/>
      <c r="O1793" s="10"/>
      <c r="P1793" s="10"/>
      <c r="Q1793" s="10"/>
      <c r="R1793" s="10"/>
      <c r="S1793" s="10"/>
      <c r="T1793" s="10"/>
      <c r="U1793" s="10"/>
      <c r="V1793" s="10"/>
      <c r="W1793" s="10"/>
      <c r="X1793" s="10"/>
      <c r="Y1793" s="10"/>
    </row>
    <row r="1794" spans="1:25" ht="16.5" customHeight="1" x14ac:dyDescent="0.2">
      <c r="A1794" s="35">
        <v>18</v>
      </c>
      <c r="B1794" s="406" t="s">
        <v>79</v>
      </c>
      <c r="C1794" s="407"/>
      <c r="D1794" s="407"/>
      <c r="E1794" s="407"/>
      <c r="F1794" s="407"/>
      <c r="G1794" s="407"/>
      <c r="H1794" s="407"/>
      <c r="I1794" s="407"/>
      <c r="J1794" s="408"/>
    </row>
    <row r="1795" spans="1:25" ht="16.5" customHeight="1" x14ac:dyDescent="0.2">
      <c r="A1795" s="184" t="str">
        <f>'Planilha orçamentária'!A150</f>
        <v>18.1</v>
      </c>
      <c r="B1795" s="343" t="str">
        <f>'Planilha orçamentária'!D150</f>
        <v>Re-bar 10mm x 3m com 3 clips para emenda 8-10mm</v>
      </c>
      <c r="C1795" s="344"/>
      <c r="D1795" s="344"/>
      <c r="E1795" s="344"/>
      <c r="F1795" s="344"/>
      <c r="G1795" s="344"/>
      <c r="H1795" s="344"/>
      <c r="I1795" s="344"/>
      <c r="J1795" s="344"/>
      <c r="K1795" s="10"/>
      <c r="L1795" s="10"/>
      <c r="M1795" s="10"/>
      <c r="N1795" s="10"/>
      <c r="O1795" s="10"/>
      <c r="P1795" s="10"/>
      <c r="Q1795" s="10"/>
      <c r="R1795" s="10"/>
      <c r="S1795" s="10"/>
      <c r="T1795" s="10"/>
      <c r="U1795" s="10"/>
      <c r="V1795" s="10"/>
      <c r="W1795" s="10"/>
      <c r="X1795" s="10"/>
      <c r="Y1795" s="10"/>
    </row>
    <row r="1796" spans="1:25" ht="16.5" customHeight="1" x14ac:dyDescent="0.2">
      <c r="A1796" s="327" t="s">
        <v>120</v>
      </c>
      <c r="B1796" s="328"/>
      <c r="C1796" s="328"/>
      <c r="D1796" s="182" t="s">
        <v>121</v>
      </c>
      <c r="E1796" s="182" t="s">
        <v>122</v>
      </c>
      <c r="F1796" s="181" t="s">
        <v>123</v>
      </c>
      <c r="G1796" s="181" t="s">
        <v>124</v>
      </c>
      <c r="H1796" s="181" t="s">
        <v>128</v>
      </c>
      <c r="I1796" s="182" t="s">
        <v>125</v>
      </c>
      <c r="J1796" s="182" t="s">
        <v>113</v>
      </c>
      <c r="K1796" s="10"/>
      <c r="L1796" s="10"/>
      <c r="M1796" s="10"/>
      <c r="N1796" s="10"/>
      <c r="O1796" s="10"/>
      <c r="P1796" s="10"/>
      <c r="Q1796" s="10"/>
      <c r="R1796" s="10"/>
      <c r="S1796" s="10"/>
      <c r="T1796" s="10"/>
      <c r="U1796" s="10"/>
      <c r="V1796" s="10"/>
      <c r="W1796" s="10"/>
      <c r="X1796" s="10"/>
      <c r="Y1796" s="10"/>
    </row>
    <row r="1797" spans="1:25" ht="16.5" customHeight="1" x14ac:dyDescent="0.2">
      <c r="A1797" s="318" t="s">
        <v>823</v>
      </c>
      <c r="B1797" s="319"/>
      <c r="C1797" s="332"/>
      <c r="D1797" s="148"/>
      <c r="E1797" s="148"/>
      <c r="F1797" s="148"/>
      <c r="G1797" s="148">
        <v>196</v>
      </c>
      <c r="H1797" s="148"/>
      <c r="I1797" s="148"/>
      <c r="J1797" s="170">
        <f>PRODUCT(D1797:H1797)-I1797</f>
        <v>196</v>
      </c>
      <c r="L1797" s="10"/>
      <c r="M1797" s="10"/>
      <c r="N1797" s="10"/>
      <c r="O1797" s="10"/>
      <c r="P1797" s="10"/>
      <c r="Q1797" s="10"/>
      <c r="R1797" s="10"/>
      <c r="S1797" s="10"/>
      <c r="T1797" s="10"/>
      <c r="U1797" s="10"/>
      <c r="V1797" s="10"/>
      <c r="W1797" s="10"/>
      <c r="X1797" s="10"/>
      <c r="Y1797" s="10"/>
    </row>
    <row r="1798" spans="1:25" ht="16.5" customHeight="1" x14ac:dyDescent="0.2">
      <c r="A1798" s="336" t="str">
        <f>"TOTAL - "&amp;'Planilha orçamentária'!F150</f>
        <v>TOTAL - UN</v>
      </c>
      <c r="B1798" s="337"/>
      <c r="C1798" s="337"/>
      <c r="D1798" s="337"/>
      <c r="E1798" s="337"/>
      <c r="F1798" s="337"/>
      <c r="G1798" s="337"/>
      <c r="H1798" s="337"/>
      <c r="I1798" s="338"/>
      <c r="J1798" s="149">
        <f>SUM(J1797)</f>
        <v>196</v>
      </c>
      <c r="K1798" s="10"/>
      <c r="L1798" s="10"/>
      <c r="M1798" s="10"/>
      <c r="N1798" s="10"/>
      <c r="O1798" s="10"/>
      <c r="P1798" s="10"/>
      <c r="Q1798" s="10"/>
      <c r="R1798" s="10"/>
      <c r="S1798" s="10"/>
      <c r="T1798" s="10"/>
      <c r="U1798" s="10"/>
      <c r="V1798" s="10"/>
      <c r="W1798" s="10"/>
      <c r="X1798" s="10"/>
      <c r="Y1798" s="10"/>
    </row>
    <row r="1799" spans="1:25" ht="16.5" customHeight="1" x14ac:dyDescent="0.2">
      <c r="A1799" s="184" t="str">
        <f>'Planilha orçamentária'!A151</f>
        <v>18.2</v>
      </c>
      <c r="B1799" s="343" t="str">
        <f>'Planilha orçamentária'!D151</f>
        <v>Caixa de equalização de embutir com saidas nas partes superior e inferior para eletroduto de 25mm (1"), 20 x 20 x 14 mm, com nove terminais</v>
      </c>
      <c r="C1799" s="344"/>
      <c r="D1799" s="344"/>
      <c r="E1799" s="344"/>
      <c r="F1799" s="344"/>
      <c r="G1799" s="344"/>
      <c r="H1799" s="344"/>
      <c r="I1799" s="344"/>
      <c r="J1799" s="344"/>
      <c r="K1799" s="10"/>
      <c r="L1799" s="10"/>
      <c r="M1799" s="10"/>
      <c r="N1799" s="10"/>
      <c r="O1799" s="10"/>
      <c r="P1799" s="10"/>
      <c r="Q1799" s="10"/>
      <c r="R1799" s="10"/>
      <c r="S1799" s="10"/>
      <c r="T1799" s="10"/>
      <c r="U1799" s="10"/>
      <c r="V1799" s="10"/>
      <c r="W1799" s="10"/>
      <c r="X1799" s="10"/>
      <c r="Y1799" s="10"/>
    </row>
    <row r="1800" spans="1:25" ht="16.5" customHeight="1" x14ac:dyDescent="0.2">
      <c r="A1800" s="327" t="s">
        <v>120</v>
      </c>
      <c r="B1800" s="328"/>
      <c r="C1800" s="328"/>
      <c r="D1800" s="182" t="s">
        <v>121</v>
      </c>
      <c r="E1800" s="182" t="s">
        <v>122</v>
      </c>
      <c r="F1800" s="181" t="s">
        <v>123</v>
      </c>
      <c r="G1800" s="181" t="s">
        <v>124</v>
      </c>
      <c r="H1800" s="181" t="s">
        <v>128</v>
      </c>
      <c r="I1800" s="182" t="s">
        <v>125</v>
      </c>
      <c r="J1800" s="182" t="s">
        <v>113</v>
      </c>
      <c r="K1800" s="10"/>
      <c r="L1800" s="10"/>
      <c r="M1800" s="10"/>
      <c r="N1800" s="10"/>
      <c r="O1800" s="10"/>
      <c r="P1800" s="10"/>
      <c r="Q1800" s="10"/>
      <c r="R1800" s="10"/>
      <c r="S1800" s="10"/>
      <c r="T1800" s="10"/>
      <c r="U1800" s="10"/>
      <c r="V1800" s="10"/>
      <c r="W1800" s="10"/>
      <c r="X1800" s="10"/>
      <c r="Y1800" s="10"/>
    </row>
    <row r="1801" spans="1:25" ht="16.5" customHeight="1" x14ac:dyDescent="0.2">
      <c r="A1801" s="318" t="s">
        <v>823</v>
      </c>
      <c r="B1801" s="319"/>
      <c r="C1801" s="332"/>
      <c r="D1801" s="148"/>
      <c r="E1801" s="148"/>
      <c r="F1801" s="148"/>
      <c r="G1801" s="148">
        <v>7</v>
      </c>
      <c r="H1801" s="148"/>
      <c r="I1801" s="148"/>
      <c r="J1801" s="170">
        <f>PRODUCT(D1801:H1801)-I1801</f>
        <v>7</v>
      </c>
      <c r="L1801" s="10"/>
      <c r="M1801" s="10"/>
      <c r="N1801" s="10"/>
      <c r="O1801" s="10"/>
      <c r="P1801" s="10"/>
      <c r="Q1801" s="10"/>
      <c r="R1801" s="10"/>
      <c r="S1801" s="10"/>
      <c r="T1801" s="10"/>
      <c r="U1801" s="10"/>
      <c r="V1801" s="10"/>
      <c r="W1801" s="10"/>
      <c r="X1801" s="10"/>
      <c r="Y1801" s="10"/>
    </row>
    <row r="1802" spans="1:25" ht="16.5" customHeight="1" x14ac:dyDescent="0.2">
      <c r="A1802" s="336" t="str">
        <f>"TOTAL - "&amp;'Planilha orçamentária'!F151</f>
        <v>TOTAL - UN</v>
      </c>
      <c r="B1802" s="337"/>
      <c r="C1802" s="337"/>
      <c r="D1802" s="337"/>
      <c r="E1802" s="337"/>
      <c r="F1802" s="337"/>
      <c r="G1802" s="337"/>
      <c r="H1802" s="337"/>
      <c r="I1802" s="338"/>
      <c r="J1802" s="149">
        <f>SUM(J1801)</f>
        <v>7</v>
      </c>
      <c r="K1802" s="10"/>
      <c r="L1802" s="10"/>
      <c r="M1802" s="10"/>
      <c r="N1802" s="10"/>
      <c r="O1802" s="10"/>
      <c r="P1802" s="10"/>
      <c r="Q1802" s="10"/>
      <c r="R1802" s="10"/>
      <c r="S1802" s="10"/>
      <c r="T1802" s="10"/>
      <c r="U1802" s="10"/>
      <c r="V1802" s="10"/>
      <c r="W1802" s="10"/>
      <c r="X1802" s="10"/>
      <c r="Y1802" s="10"/>
    </row>
    <row r="1803" spans="1:25" ht="16.5" customHeight="1" x14ac:dyDescent="0.2">
      <c r="A1803" s="184" t="str">
        <f>'Planilha orçamentária'!A152</f>
        <v>18.3</v>
      </c>
      <c r="B1803" s="343" t="str">
        <f>'Planilha orçamentária'!D152</f>
        <v>Cabo de cobre nu #35mm2 - 7 fiosx2,50mm, para elementos de captação/ anel de cintamento/ descida (spda), inclusive suporte e isolador</v>
      </c>
      <c r="C1803" s="344"/>
      <c r="D1803" s="344"/>
      <c r="E1803" s="344"/>
      <c r="F1803" s="344"/>
      <c r="G1803" s="344"/>
      <c r="H1803" s="344"/>
      <c r="I1803" s="344"/>
      <c r="J1803" s="344"/>
      <c r="K1803" s="10"/>
      <c r="L1803" s="10"/>
      <c r="M1803" s="10"/>
      <c r="N1803" s="10"/>
      <c r="O1803" s="10"/>
      <c r="P1803" s="10"/>
      <c r="Q1803" s="10"/>
      <c r="R1803" s="10"/>
      <c r="S1803" s="10"/>
      <c r="T1803" s="10"/>
      <c r="U1803" s="10"/>
      <c r="V1803" s="10"/>
      <c r="W1803" s="10"/>
      <c r="X1803" s="10"/>
      <c r="Y1803" s="10"/>
    </row>
    <row r="1804" spans="1:25" ht="16.5" customHeight="1" x14ac:dyDescent="0.2">
      <c r="A1804" s="327" t="s">
        <v>120</v>
      </c>
      <c r="B1804" s="328"/>
      <c r="C1804" s="328"/>
      <c r="D1804" s="182" t="s">
        <v>121</v>
      </c>
      <c r="E1804" s="182" t="s">
        <v>122</v>
      </c>
      <c r="F1804" s="181" t="s">
        <v>123</v>
      </c>
      <c r="G1804" s="181" t="s">
        <v>124</v>
      </c>
      <c r="H1804" s="181" t="s">
        <v>128</v>
      </c>
      <c r="I1804" s="182" t="s">
        <v>125</v>
      </c>
      <c r="J1804" s="182" t="s">
        <v>113</v>
      </c>
      <c r="K1804" s="10"/>
      <c r="L1804" s="10"/>
      <c r="M1804" s="10"/>
      <c r="N1804" s="10"/>
      <c r="O1804" s="10"/>
      <c r="P1804" s="10"/>
      <c r="Q1804" s="10"/>
      <c r="R1804" s="10"/>
      <c r="S1804" s="10"/>
      <c r="T1804" s="10"/>
      <c r="U1804" s="10"/>
      <c r="V1804" s="10"/>
      <c r="W1804" s="10"/>
      <c r="X1804" s="10"/>
      <c r="Y1804" s="10"/>
    </row>
    <row r="1805" spans="1:25" ht="16.5" customHeight="1" x14ac:dyDescent="0.2">
      <c r="A1805" s="318" t="s">
        <v>823</v>
      </c>
      <c r="B1805" s="319"/>
      <c r="C1805" s="332"/>
      <c r="D1805" s="148"/>
      <c r="E1805" s="148"/>
      <c r="F1805" s="148"/>
      <c r="G1805" s="148">
        <v>840</v>
      </c>
      <c r="H1805" s="148"/>
      <c r="I1805" s="148"/>
      <c r="J1805" s="170">
        <f>PRODUCT(D1805:H1805)-I1805</f>
        <v>840</v>
      </c>
      <c r="L1805" s="10"/>
      <c r="M1805" s="10"/>
      <c r="N1805" s="10"/>
      <c r="O1805" s="10"/>
      <c r="P1805" s="10"/>
      <c r="Q1805" s="10"/>
      <c r="R1805" s="10"/>
      <c r="S1805" s="10"/>
      <c r="T1805" s="10"/>
      <c r="U1805" s="10"/>
      <c r="V1805" s="10"/>
      <c r="W1805" s="10"/>
      <c r="X1805" s="10"/>
      <c r="Y1805" s="10"/>
    </row>
    <row r="1806" spans="1:25" ht="16.5" customHeight="1" x14ac:dyDescent="0.2">
      <c r="A1806" s="336" t="str">
        <f>"TOTAL - "&amp;'Planilha orçamentária'!F152</f>
        <v>TOTAL - M</v>
      </c>
      <c r="B1806" s="337"/>
      <c r="C1806" s="337"/>
      <c r="D1806" s="337"/>
      <c r="E1806" s="337"/>
      <c r="F1806" s="337"/>
      <c r="G1806" s="337"/>
      <c r="H1806" s="337"/>
      <c r="I1806" s="338"/>
      <c r="J1806" s="149">
        <f>SUM(J1805)</f>
        <v>840</v>
      </c>
      <c r="K1806" s="10"/>
      <c r="L1806" s="10"/>
      <c r="M1806" s="10"/>
      <c r="N1806" s="10"/>
      <c r="O1806" s="10"/>
      <c r="P1806" s="10"/>
      <c r="Q1806" s="10"/>
      <c r="R1806" s="10"/>
      <c r="S1806" s="10"/>
      <c r="T1806" s="10"/>
      <c r="U1806" s="10"/>
      <c r="V1806" s="10"/>
      <c r="W1806" s="10"/>
      <c r="X1806" s="10"/>
      <c r="Y1806" s="10"/>
    </row>
    <row r="1807" spans="1:25" ht="16.5" customHeight="1" x14ac:dyDescent="0.2">
      <c r="A1807" s="184" t="str">
        <f>'Planilha orçamentária'!A153</f>
        <v>18.4</v>
      </c>
      <c r="B1807" s="343" t="str">
        <f>'Planilha orçamentária'!D153</f>
        <v>Terminal a compressao em cobre estanhado 1 furo para cabo 50 mm2</v>
      </c>
      <c r="C1807" s="344"/>
      <c r="D1807" s="344"/>
      <c r="E1807" s="344"/>
      <c r="F1807" s="344"/>
      <c r="G1807" s="344"/>
      <c r="H1807" s="344"/>
      <c r="I1807" s="344"/>
      <c r="J1807" s="344"/>
      <c r="K1807" s="10"/>
      <c r="L1807" s="10"/>
      <c r="M1807" s="10"/>
      <c r="N1807" s="10"/>
      <c r="O1807" s="10"/>
      <c r="P1807" s="10"/>
      <c r="Q1807" s="10"/>
      <c r="R1807" s="10"/>
      <c r="S1807" s="10"/>
      <c r="T1807" s="10"/>
      <c r="U1807" s="10"/>
      <c r="V1807" s="10"/>
      <c r="W1807" s="10"/>
      <c r="X1807" s="10"/>
      <c r="Y1807" s="10"/>
    </row>
    <row r="1808" spans="1:25" ht="16.5" customHeight="1" x14ac:dyDescent="0.2">
      <c r="A1808" s="327" t="s">
        <v>120</v>
      </c>
      <c r="B1808" s="328"/>
      <c r="C1808" s="328"/>
      <c r="D1808" s="182" t="s">
        <v>121</v>
      </c>
      <c r="E1808" s="182" t="s">
        <v>122</v>
      </c>
      <c r="F1808" s="181" t="s">
        <v>123</v>
      </c>
      <c r="G1808" s="181" t="s">
        <v>124</v>
      </c>
      <c r="H1808" s="181" t="s">
        <v>128</v>
      </c>
      <c r="I1808" s="182" t="s">
        <v>125</v>
      </c>
      <c r="J1808" s="182" t="s">
        <v>113</v>
      </c>
      <c r="K1808" s="10"/>
      <c r="L1808" s="10"/>
      <c r="M1808" s="10"/>
      <c r="N1808" s="10"/>
      <c r="O1808" s="10"/>
      <c r="P1808" s="10"/>
      <c r="Q1808" s="10"/>
      <c r="R1808" s="10"/>
      <c r="S1808" s="10"/>
      <c r="T1808" s="10"/>
      <c r="U1808" s="10"/>
      <c r="V1808" s="10"/>
      <c r="W1808" s="10"/>
      <c r="X1808" s="10"/>
      <c r="Y1808" s="10"/>
    </row>
    <row r="1809" spans="1:25" ht="16.5" customHeight="1" x14ac:dyDescent="0.2">
      <c r="A1809" s="318" t="s">
        <v>823</v>
      </c>
      <c r="B1809" s="319"/>
      <c r="C1809" s="332"/>
      <c r="D1809" s="148"/>
      <c r="E1809" s="148"/>
      <c r="F1809" s="148"/>
      <c r="G1809" s="148">
        <v>7</v>
      </c>
      <c r="H1809" s="148"/>
      <c r="I1809" s="148"/>
      <c r="J1809" s="170">
        <f>PRODUCT(D1809:H1809)-I1809</f>
        <v>7</v>
      </c>
      <c r="L1809" s="10"/>
      <c r="M1809" s="10"/>
      <c r="N1809" s="10"/>
      <c r="O1809" s="10"/>
      <c r="P1809" s="10"/>
      <c r="Q1809" s="10"/>
      <c r="R1809" s="10"/>
      <c r="S1809" s="10"/>
      <c r="T1809" s="10"/>
      <c r="U1809" s="10"/>
      <c r="V1809" s="10"/>
      <c r="W1809" s="10"/>
      <c r="X1809" s="10"/>
      <c r="Y1809" s="10"/>
    </row>
    <row r="1810" spans="1:25" ht="16.5" customHeight="1" x14ac:dyDescent="0.2">
      <c r="A1810" s="336" t="str">
        <f>"TOTAL - "&amp;'Planilha orçamentária'!F153</f>
        <v>TOTAL - UN</v>
      </c>
      <c r="B1810" s="337"/>
      <c r="C1810" s="337"/>
      <c r="D1810" s="337"/>
      <c r="E1810" s="337"/>
      <c r="F1810" s="337"/>
      <c r="G1810" s="337"/>
      <c r="H1810" s="337"/>
      <c r="I1810" s="338"/>
      <c r="J1810" s="149">
        <f>SUM(J1809)</f>
        <v>7</v>
      </c>
      <c r="K1810" s="10"/>
      <c r="L1810" s="10"/>
      <c r="M1810" s="10"/>
      <c r="N1810" s="10"/>
      <c r="O1810" s="10"/>
      <c r="P1810" s="10"/>
      <c r="Q1810" s="10"/>
      <c r="R1810" s="10"/>
      <c r="S1810" s="10"/>
      <c r="T1810" s="10"/>
      <c r="U1810" s="10"/>
      <c r="V1810" s="10"/>
      <c r="W1810" s="10"/>
      <c r="X1810" s="10"/>
      <c r="Y1810" s="10"/>
    </row>
    <row r="1811" spans="1:25" ht="16.5" customHeight="1" x14ac:dyDescent="0.2">
      <c r="A1811" s="184" t="str">
        <f>'Planilha orçamentária'!A154</f>
        <v>18.5</v>
      </c>
      <c r="B1811" s="343" t="str">
        <f>'Planilha orçamentária'!D154</f>
        <v>Conector estanhado com pino m12 para aterrinser e cabos 16 a 70mm²</v>
      </c>
      <c r="C1811" s="344"/>
      <c r="D1811" s="344"/>
      <c r="E1811" s="344"/>
      <c r="F1811" s="344"/>
      <c r="G1811" s="344"/>
      <c r="H1811" s="344"/>
      <c r="I1811" s="344"/>
      <c r="J1811" s="344"/>
      <c r="K1811" s="10"/>
      <c r="L1811" s="10"/>
      <c r="M1811" s="10"/>
      <c r="N1811" s="10"/>
      <c r="O1811" s="10"/>
      <c r="P1811" s="10"/>
      <c r="Q1811" s="10"/>
      <c r="R1811" s="10"/>
      <c r="S1811" s="10"/>
      <c r="T1811" s="10"/>
      <c r="U1811" s="10"/>
      <c r="V1811" s="10"/>
      <c r="W1811" s="10"/>
      <c r="X1811" s="10"/>
      <c r="Y1811" s="10"/>
    </row>
    <row r="1812" spans="1:25" ht="16.5" customHeight="1" x14ac:dyDescent="0.2">
      <c r="A1812" s="327" t="s">
        <v>120</v>
      </c>
      <c r="B1812" s="328"/>
      <c r="C1812" s="328"/>
      <c r="D1812" s="182" t="s">
        <v>121</v>
      </c>
      <c r="E1812" s="182" t="s">
        <v>122</v>
      </c>
      <c r="F1812" s="181" t="s">
        <v>123</v>
      </c>
      <c r="G1812" s="181" t="s">
        <v>124</v>
      </c>
      <c r="H1812" s="181" t="s">
        <v>128</v>
      </c>
      <c r="I1812" s="182" t="s">
        <v>125</v>
      </c>
      <c r="J1812" s="182" t="s">
        <v>113</v>
      </c>
      <c r="K1812" s="10"/>
      <c r="L1812" s="10"/>
      <c r="M1812" s="10"/>
      <c r="N1812" s="10"/>
      <c r="O1812" s="10"/>
      <c r="P1812" s="10"/>
      <c r="Q1812" s="10"/>
      <c r="R1812" s="10"/>
      <c r="S1812" s="10"/>
      <c r="T1812" s="10"/>
      <c r="U1812" s="10"/>
      <c r="V1812" s="10"/>
      <c r="W1812" s="10"/>
      <c r="X1812" s="10"/>
      <c r="Y1812" s="10"/>
    </row>
    <row r="1813" spans="1:25" ht="16.5" customHeight="1" x14ac:dyDescent="0.2">
      <c r="A1813" s="318" t="s">
        <v>823</v>
      </c>
      <c r="B1813" s="319"/>
      <c r="C1813" s="332"/>
      <c r="D1813" s="148"/>
      <c r="E1813" s="148"/>
      <c r="F1813" s="148"/>
      <c r="G1813" s="148">
        <v>105</v>
      </c>
      <c r="H1813" s="148"/>
      <c r="I1813" s="148"/>
      <c r="J1813" s="170">
        <f>PRODUCT(D1813:H1813)-I1813</f>
        <v>105</v>
      </c>
      <c r="L1813" s="10"/>
      <c r="M1813" s="10"/>
      <c r="N1813" s="10"/>
      <c r="O1813" s="10"/>
      <c r="P1813" s="10"/>
      <c r="Q1813" s="10"/>
      <c r="R1813" s="10"/>
      <c r="S1813" s="10"/>
      <c r="T1813" s="10"/>
      <c r="U1813" s="10"/>
      <c r="V1813" s="10"/>
      <c r="W1813" s="10"/>
      <c r="X1813" s="10"/>
      <c r="Y1813" s="10"/>
    </row>
    <row r="1814" spans="1:25" ht="16.5" customHeight="1" x14ac:dyDescent="0.2">
      <c r="A1814" s="336" t="str">
        <f>"TOTAL - "&amp;'Planilha orçamentária'!F154</f>
        <v>TOTAL - UN</v>
      </c>
      <c r="B1814" s="337"/>
      <c r="C1814" s="337"/>
      <c r="D1814" s="337"/>
      <c r="E1814" s="337"/>
      <c r="F1814" s="337"/>
      <c r="G1814" s="337"/>
      <c r="H1814" s="337"/>
      <c r="I1814" s="338"/>
      <c r="J1814" s="149">
        <f>SUM(J1813)</f>
        <v>105</v>
      </c>
      <c r="K1814" s="10"/>
      <c r="L1814" s="10"/>
      <c r="M1814" s="10"/>
      <c r="N1814" s="10"/>
      <c r="O1814" s="10"/>
      <c r="P1814" s="10"/>
      <c r="Q1814" s="10"/>
      <c r="R1814" s="10"/>
      <c r="S1814" s="10"/>
      <c r="T1814" s="10"/>
      <c r="U1814" s="10"/>
      <c r="V1814" s="10"/>
      <c r="W1814" s="10"/>
      <c r="X1814" s="10"/>
      <c r="Y1814" s="10"/>
    </row>
    <row r="1815" spans="1:25" ht="16.5" customHeight="1" x14ac:dyDescent="0.2">
      <c r="A1815" s="184" t="str">
        <f>'Planilha orçamentária'!A155</f>
        <v>18.6</v>
      </c>
      <c r="B1815" s="343" t="str">
        <f>'Planilha orçamentária'!D155</f>
        <v>Conector aterrinsert para rebars ø 8-10mm com disco em latão e rosca fêmea M12</v>
      </c>
      <c r="C1815" s="344"/>
      <c r="D1815" s="344"/>
      <c r="E1815" s="344"/>
      <c r="F1815" s="344"/>
      <c r="G1815" s="344"/>
      <c r="H1815" s="344"/>
      <c r="I1815" s="344"/>
      <c r="J1815" s="344"/>
      <c r="K1815" s="10"/>
      <c r="L1815" s="10"/>
      <c r="M1815" s="10"/>
      <c r="N1815" s="10"/>
      <c r="O1815" s="10"/>
      <c r="P1815" s="10"/>
      <c r="Q1815" s="10"/>
      <c r="R1815" s="10"/>
      <c r="S1815" s="10"/>
      <c r="T1815" s="10"/>
      <c r="U1815" s="10"/>
      <c r="V1815" s="10"/>
      <c r="W1815" s="10"/>
      <c r="X1815" s="10"/>
      <c r="Y1815" s="10"/>
    </row>
    <row r="1816" spans="1:25" ht="16.5" customHeight="1" x14ac:dyDescent="0.2">
      <c r="A1816" s="327" t="s">
        <v>120</v>
      </c>
      <c r="B1816" s="328"/>
      <c r="C1816" s="328"/>
      <c r="D1816" s="182" t="s">
        <v>121</v>
      </c>
      <c r="E1816" s="182" t="s">
        <v>122</v>
      </c>
      <c r="F1816" s="181" t="s">
        <v>123</v>
      </c>
      <c r="G1816" s="181" t="s">
        <v>124</v>
      </c>
      <c r="H1816" s="181" t="s">
        <v>128</v>
      </c>
      <c r="I1816" s="182" t="s">
        <v>125</v>
      </c>
      <c r="J1816" s="182" t="s">
        <v>113</v>
      </c>
      <c r="K1816" s="10"/>
      <c r="L1816" s="10"/>
      <c r="M1816" s="10"/>
      <c r="N1816" s="10"/>
      <c r="O1816" s="10"/>
      <c r="P1816" s="10"/>
      <c r="Q1816" s="10"/>
      <c r="R1816" s="10"/>
      <c r="S1816" s="10"/>
      <c r="T1816" s="10"/>
      <c r="U1816" s="10"/>
      <c r="V1816" s="10"/>
      <c r="W1816" s="10"/>
      <c r="X1816" s="10"/>
      <c r="Y1816" s="10"/>
    </row>
    <row r="1817" spans="1:25" ht="16.5" customHeight="1" x14ac:dyDescent="0.2">
      <c r="A1817" s="318" t="s">
        <v>823</v>
      </c>
      <c r="B1817" s="319"/>
      <c r="C1817" s="332"/>
      <c r="D1817" s="148"/>
      <c r="E1817" s="148"/>
      <c r="F1817" s="148"/>
      <c r="G1817" s="148">
        <v>70</v>
      </c>
      <c r="H1817" s="148"/>
      <c r="I1817" s="148"/>
      <c r="J1817" s="170">
        <f>PRODUCT(D1817:H1817)-I1817</f>
        <v>70</v>
      </c>
      <c r="L1817" s="10"/>
      <c r="M1817" s="10"/>
      <c r="N1817" s="10"/>
      <c r="O1817" s="10"/>
      <c r="P1817" s="10"/>
      <c r="Q1817" s="10"/>
      <c r="R1817" s="10"/>
      <c r="S1817" s="10"/>
      <c r="T1817" s="10"/>
      <c r="U1817" s="10"/>
      <c r="V1817" s="10"/>
      <c r="W1817" s="10"/>
      <c r="X1817" s="10"/>
      <c r="Y1817" s="10"/>
    </row>
    <row r="1818" spans="1:25" ht="16.5" customHeight="1" x14ac:dyDescent="0.2">
      <c r="A1818" s="336" t="str">
        <f>"TOTAL - "&amp;'Planilha orçamentária'!F155</f>
        <v>TOTAL - UN</v>
      </c>
      <c r="B1818" s="337"/>
      <c r="C1818" s="337"/>
      <c r="D1818" s="337"/>
      <c r="E1818" s="337"/>
      <c r="F1818" s="337"/>
      <c r="G1818" s="337"/>
      <c r="H1818" s="337"/>
      <c r="I1818" s="338"/>
      <c r="J1818" s="149">
        <f>SUM(J1817)</f>
        <v>70</v>
      </c>
      <c r="K1818" s="10"/>
      <c r="L1818" s="10"/>
      <c r="M1818" s="10"/>
      <c r="N1818" s="10"/>
      <c r="O1818" s="10"/>
      <c r="P1818" s="10"/>
      <c r="Q1818" s="10"/>
      <c r="R1818" s="10"/>
      <c r="S1818" s="10"/>
      <c r="T1818" s="10"/>
      <c r="U1818" s="10"/>
      <c r="V1818" s="10"/>
      <c r="W1818" s="10"/>
      <c r="X1818" s="10"/>
      <c r="Y1818" s="10"/>
    </row>
    <row r="1819" spans="1:25" ht="16.5" customHeight="1" x14ac:dyDescent="0.2">
      <c r="A1819" s="184" t="str">
        <f>'Planilha orçamentária'!A156</f>
        <v>18.7</v>
      </c>
      <c r="B1819" s="343" t="str">
        <f>'Planilha orçamentária'!D156</f>
        <v>Fixador universal de spda estanhado de 16-35mm²</v>
      </c>
      <c r="C1819" s="344"/>
      <c r="D1819" s="344"/>
      <c r="E1819" s="344"/>
      <c r="F1819" s="344"/>
      <c r="G1819" s="344"/>
      <c r="H1819" s="344"/>
      <c r="I1819" s="344"/>
      <c r="J1819" s="344"/>
      <c r="K1819" s="10"/>
      <c r="L1819" s="10"/>
      <c r="M1819" s="10"/>
      <c r="N1819" s="10"/>
      <c r="O1819" s="10"/>
      <c r="P1819" s="10"/>
      <c r="Q1819" s="10"/>
      <c r="R1819" s="10"/>
      <c r="S1819" s="10"/>
      <c r="T1819" s="10"/>
      <c r="U1819" s="10"/>
      <c r="V1819" s="10"/>
      <c r="W1819" s="10"/>
      <c r="X1819" s="10"/>
      <c r="Y1819" s="10"/>
    </row>
    <row r="1820" spans="1:25" ht="16.5" customHeight="1" x14ac:dyDescent="0.2">
      <c r="A1820" s="327" t="s">
        <v>120</v>
      </c>
      <c r="B1820" s="328"/>
      <c r="C1820" s="328"/>
      <c r="D1820" s="182" t="s">
        <v>121</v>
      </c>
      <c r="E1820" s="182" t="s">
        <v>122</v>
      </c>
      <c r="F1820" s="181" t="s">
        <v>123</v>
      </c>
      <c r="G1820" s="181" t="s">
        <v>124</v>
      </c>
      <c r="H1820" s="181" t="s">
        <v>128</v>
      </c>
      <c r="I1820" s="182" t="s">
        <v>125</v>
      </c>
      <c r="J1820" s="182" t="s">
        <v>113</v>
      </c>
      <c r="K1820" s="10"/>
      <c r="L1820" s="10"/>
      <c r="M1820" s="10"/>
      <c r="N1820" s="10"/>
      <c r="O1820" s="10"/>
      <c r="P1820" s="10"/>
      <c r="Q1820" s="10"/>
      <c r="R1820" s="10"/>
      <c r="S1820" s="10"/>
      <c r="T1820" s="10"/>
      <c r="U1820" s="10"/>
      <c r="V1820" s="10"/>
      <c r="W1820" s="10"/>
      <c r="X1820" s="10"/>
      <c r="Y1820" s="10"/>
    </row>
    <row r="1821" spans="1:25" ht="16.5" customHeight="1" x14ac:dyDescent="0.2">
      <c r="A1821" s="318" t="s">
        <v>823</v>
      </c>
      <c r="B1821" s="319"/>
      <c r="C1821" s="332"/>
      <c r="D1821" s="148"/>
      <c r="E1821" s="148"/>
      <c r="F1821" s="148"/>
      <c r="G1821" s="148">
        <v>350</v>
      </c>
      <c r="H1821" s="148"/>
      <c r="I1821" s="148"/>
      <c r="J1821" s="170">
        <f>PRODUCT(D1821:H1821)-I1821</f>
        <v>350</v>
      </c>
      <c r="L1821" s="10"/>
      <c r="M1821" s="10"/>
      <c r="N1821" s="10"/>
      <c r="O1821" s="10"/>
      <c r="P1821" s="10"/>
      <c r="Q1821" s="10"/>
      <c r="R1821" s="10"/>
      <c r="S1821" s="10"/>
      <c r="T1821" s="10"/>
      <c r="U1821" s="10"/>
      <c r="V1821" s="10"/>
      <c r="W1821" s="10"/>
      <c r="X1821" s="10"/>
      <c r="Y1821" s="10"/>
    </row>
    <row r="1822" spans="1:25" ht="16.5" customHeight="1" x14ac:dyDescent="0.2">
      <c r="A1822" s="336" t="str">
        <f>"TOTAL - "&amp;'Planilha orçamentária'!F156</f>
        <v>TOTAL - UN</v>
      </c>
      <c r="B1822" s="337"/>
      <c r="C1822" s="337"/>
      <c r="D1822" s="337"/>
      <c r="E1822" s="337"/>
      <c r="F1822" s="337"/>
      <c r="G1822" s="337"/>
      <c r="H1822" s="337"/>
      <c r="I1822" s="338"/>
      <c r="J1822" s="149">
        <f>SUM(J1821)</f>
        <v>350</v>
      </c>
      <c r="K1822" s="10"/>
      <c r="L1822" s="10"/>
      <c r="M1822" s="10"/>
      <c r="N1822" s="10"/>
      <c r="O1822" s="10"/>
      <c r="P1822" s="10"/>
      <c r="Q1822" s="10"/>
      <c r="R1822" s="10"/>
      <c r="S1822" s="10"/>
      <c r="T1822" s="10"/>
      <c r="U1822" s="10"/>
      <c r="V1822" s="10"/>
      <c r="W1822" s="10"/>
      <c r="X1822" s="10"/>
      <c r="Y1822" s="10"/>
    </row>
    <row r="1823" spans="1:25" ht="16.5" customHeight="1" x14ac:dyDescent="0.2">
      <c r="A1823" s="184" t="str">
        <f>'Planilha orçamentária'!A157</f>
        <v>18.8</v>
      </c>
      <c r="B1823" s="343" t="str">
        <f>'Planilha orçamentária'!D157</f>
        <v xml:space="preserve">Conector de pressão tipo split-bolt em latão estanhado </v>
      </c>
      <c r="C1823" s="344"/>
      <c r="D1823" s="344"/>
      <c r="E1823" s="344"/>
      <c r="F1823" s="344"/>
      <c r="G1823" s="344"/>
      <c r="H1823" s="344"/>
      <c r="I1823" s="344"/>
      <c r="J1823" s="344"/>
      <c r="K1823" s="10"/>
      <c r="L1823" s="10"/>
      <c r="M1823" s="10"/>
      <c r="N1823" s="10"/>
      <c r="O1823" s="10"/>
      <c r="P1823" s="10"/>
      <c r="Q1823" s="10"/>
      <c r="R1823" s="10"/>
      <c r="S1823" s="10"/>
      <c r="T1823" s="10"/>
      <c r="U1823" s="10"/>
      <c r="V1823" s="10"/>
      <c r="W1823" s="10"/>
      <c r="X1823" s="10"/>
      <c r="Y1823" s="10"/>
    </row>
    <row r="1824" spans="1:25" ht="16.5" customHeight="1" x14ac:dyDescent="0.2">
      <c r="A1824" s="327" t="s">
        <v>120</v>
      </c>
      <c r="B1824" s="328"/>
      <c r="C1824" s="328"/>
      <c r="D1824" s="182" t="s">
        <v>121</v>
      </c>
      <c r="E1824" s="182" t="s">
        <v>122</v>
      </c>
      <c r="F1824" s="181" t="s">
        <v>123</v>
      </c>
      <c r="G1824" s="181" t="s">
        <v>124</v>
      </c>
      <c r="H1824" s="181" t="s">
        <v>128</v>
      </c>
      <c r="I1824" s="182" t="s">
        <v>125</v>
      </c>
      <c r="J1824" s="182" t="s">
        <v>113</v>
      </c>
      <c r="K1824" s="10"/>
      <c r="L1824" s="10"/>
      <c r="M1824" s="10"/>
      <c r="N1824" s="10"/>
      <c r="O1824" s="10"/>
      <c r="P1824" s="10"/>
      <c r="Q1824" s="10"/>
      <c r="R1824" s="10"/>
      <c r="S1824" s="10"/>
      <c r="T1824" s="10"/>
      <c r="U1824" s="10"/>
      <c r="V1824" s="10"/>
      <c r="W1824" s="10"/>
      <c r="X1824" s="10"/>
      <c r="Y1824" s="10"/>
    </row>
    <row r="1825" spans="1:25" ht="16.5" customHeight="1" x14ac:dyDescent="0.2">
      <c r="A1825" s="318" t="s">
        <v>823</v>
      </c>
      <c r="B1825" s="319"/>
      <c r="C1825" s="332"/>
      <c r="D1825" s="148"/>
      <c r="E1825" s="148"/>
      <c r="F1825" s="148"/>
      <c r="G1825" s="148">
        <v>105</v>
      </c>
      <c r="H1825" s="148"/>
      <c r="I1825" s="148"/>
      <c r="J1825" s="170">
        <f>PRODUCT(D1825:H1825)-I1825</f>
        <v>105</v>
      </c>
      <c r="L1825" s="10"/>
      <c r="M1825" s="10"/>
      <c r="N1825" s="10"/>
      <c r="O1825" s="10"/>
      <c r="P1825" s="10"/>
      <c r="Q1825" s="10"/>
      <c r="R1825" s="10"/>
      <c r="S1825" s="10"/>
      <c r="T1825" s="10"/>
      <c r="U1825" s="10"/>
      <c r="V1825" s="10"/>
      <c r="W1825" s="10"/>
      <c r="X1825" s="10"/>
      <c r="Y1825" s="10"/>
    </row>
    <row r="1826" spans="1:25" ht="16.5" customHeight="1" x14ac:dyDescent="0.2">
      <c r="A1826" s="336" t="str">
        <f>"TOTAL - "&amp;'Planilha orçamentária'!F157</f>
        <v>TOTAL - UN</v>
      </c>
      <c r="B1826" s="337"/>
      <c r="C1826" s="337"/>
      <c r="D1826" s="337"/>
      <c r="E1826" s="337"/>
      <c r="F1826" s="337"/>
      <c r="G1826" s="337"/>
      <c r="H1826" s="337"/>
      <c r="I1826" s="338"/>
      <c r="J1826" s="149">
        <f>SUM(J1825)</f>
        <v>105</v>
      </c>
      <c r="K1826" s="10"/>
      <c r="L1826" s="10"/>
      <c r="M1826" s="10"/>
      <c r="N1826" s="10"/>
      <c r="O1826" s="10"/>
      <c r="P1826" s="10"/>
      <c r="Q1826" s="10"/>
      <c r="R1826" s="10"/>
      <c r="S1826" s="10"/>
      <c r="T1826" s="10"/>
      <c r="U1826" s="10"/>
      <c r="V1826" s="10"/>
      <c r="W1826" s="10"/>
      <c r="X1826" s="10"/>
      <c r="Y1826" s="10"/>
    </row>
    <row r="1827" spans="1:25" ht="16.5" customHeight="1" x14ac:dyDescent="0.2">
      <c r="A1827" s="184" t="str">
        <f>'Planilha orçamentária'!A158</f>
        <v>18.9</v>
      </c>
      <c r="B1827" s="343" t="str">
        <f>'Planilha orçamentária'!D158</f>
        <v xml:space="preserve">Clips para emenda ref.: tel- 5238 </v>
      </c>
      <c r="C1827" s="344"/>
      <c r="D1827" s="344"/>
      <c r="E1827" s="344"/>
      <c r="F1827" s="344"/>
      <c r="G1827" s="344"/>
      <c r="H1827" s="344"/>
      <c r="I1827" s="344"/>
      <c r="J1827" s="344"/>
      <c r="K1827" s="10"/>
      <c r="L1827" s="10"/>
      <c r="M1827" s="10"/>
      <c r="N1827" s="10"/>
      <c r="O1827" s="10"/>
      <c r="P1827" s="10"/>
      <c r="Q1827" s="10"/>
      <c r="R1827" s="10"/>
      <c r="S1827" s="10"/>
      <c r="T1827" s="10"/>
      <c r="U1827" s="10"/>
      <c r="V1827" s="10"/>
      <c r="W1827" s="10"/>
      <c r="X1827" s="10"/>
      <c r="Y1827" s="10"/>
    </row>
    <row r="1828" spans="1:25" ht="16.5" customHeight="1" x14ac:dyDescent="0.2">
      <c r="A1828" s="327" t="s">
        <v>120</v>
      </c>
      <c r="B1828" s="328"/>
      <c r="C1828" s="328"/>
      <c r="D1828" s="182" t="s">
        <v>121</v>
      </c>
      <c r="E1828" s="182" t="s">
        <v>122</v>
      </c>
      <c r="F1828" s="181" t="s">
        <v>123</v>
      </c>
      <c r="G1828" s="181" t="s">
        <v>124</v>
      </c>
      <c r="H1828" s="181" t="s">
        <v>128</v>
      </c>
      <c r="I1828" s="182" t="s">
        <v>125</v>
      </c>
      <c r="J1828" s="182" t="s">
        <v>113</v>
      </c>
      <c r="K1828" s="10"/>
      <c r="L1828" s="10"/>
      <c r="M1828" s="10"/>
      <c r="N1828" s="10"/>
      <c r="O1828" s="10"/>
      <c r="P1828" s="10"/>
      <c r="Q1828" s="10"/>
      <c r="R1828" s="10"/>
      <c r="S1828" s="10"/>
      <c r="T1828" s="10"/>
      <c r="U1828" s="10"/>
      <c r="V1828" s="10"/>
      <c r="W1828" s="10"/>
      <c r="X1828" s="10"/>
      <c r="Y1828" s="10"/>
    </row>
    <row r="1829" spans="1:25" ht="16.5" customHeight="1" x14ac:dyDescent="0.2">
      <c r="A1829" s="318" t="s">
        <v>823</v>
      </c>
      <c r="B1829" s="319"/>
      <c r="C1829" s="332"/>
      <c r="D1829" s="148"/>
      <c r="E1829" s="148"/>
      <c r="F1829" s="148"/>
      <c r="G1829" s="148">
        <v>560</v>
      </c>
      <c r="H1829" s="148"/>
      <c r="I1829" s="148"/>
      <c r="J1829" s="170">
        <f>PRODUCT(D1829:H1829)-I1829</f>
        <v>560</v>
      </c>
      <c r="L1829" s="10"/>
      <c r="M1829" s="10"/>
      <c r="N1829" s="10"/>
      <c r="O1829" s="10"/>
      <c r="P1829" s="10"/>
      <c r="Q1829" s="10"/>
      <c r="R1829" s="10"/>
      <c r="S1829" s="10"/>
      <c r="T1829" s="10"/>
      <c r="U1829" s="10"/>
      <c r="V1829" s="10"/>
      <c r="W1829" s="10"/>
      <c r="X1829" s="10"/>
      <c r="Y1829" s="10"/>
    </row>
    <row r="1830" spans="1:25" ht="16.5" customHeight="1" x14ac:dyDescent="0.2">
      <c r="A1830" s="336" t="str">
        <f>"TOTAL - "&amp;'Planilha orçamentária'!F158</f>
        <v>TOTAL - UN</v>
      </c>
      <c r="B1830" s="337"/>
      <c r="C1830" s="337"/>
      <c r="D1830" s="337"/>
      <c r="E1830" s="337"/>
      <c r="F1830" s="337"/>
      <c r="G1830" s="337"/>
      <c r="H1830" s="337"/>
      <c r="I1830" s="338"/>
      <c r="J1830" s="149">
        <f>SUM(J1829)</f>
        <v>560</v>
      </c>
      <c r="K1830" s="10"/>
      <c r="L1830" s="10"/>
      <c r="M1830" s="10"/>
      <c r="N1830" s="10"/>
      <c r="O1830" s="10"/>
      <c r="P1830" s="10"/>
      <c r="Q1830" s="10"/>
      <c r="R1830" s="10"/>
      <c r="S1830" s="10"/>
      <c r="T1830" s="10"/>
      <c r="U1830" s="10"/>
      <c r="V1830" s="10"/>
      <c r="W1830" s="10"/>
      <c r="X1830" s="10"/>
      <c r="Y1830" s="10"/>
    </row>
    <row r="1831" spans="1:25" ht="16.5" customHeight="1" x14ac:dyDescent="0.2">
      <c r="A1831" s="184" t="str">
        <f>'Planilha orçamentária'!A159</f>
        <v>18.10</v>
      </c>
      <c r="B1831" s="343" t="str">
        <f>'Planilha orçamentária'!D159</f>
        <v xml:space="preserve">Minicaptor em latão sextavado com conector e rosca soberba h=250 x dn 10mm </v>
      </c>
      <c r="C1831" s="344"/>
      <c r="D1831" s="344"/>
      <c r="E1831" s="344"/>
      <c r="F1831" s="344"/>
      <c r="G1831" s="344"/>
      <c r="H1831" s="344"/>
      <c r="I1831" s="344"/>
      <c r="J1831" s="344"/>
      <c r="K1831" s="10"/>
      <c r="L1831" s="10"/>
      <c r="M1831" s="10"/>
      <c r="N1831" s="10"/>
      <c r="O1831" s="10"/>
      <c r="P1831" s="10"/>
      <c r="Q1831" s="10"/>
      <c r="R1831" s="10"/>
      <c r="S1831" s="10"/>
      <c r="T1831" s="10"/>
      <c r="U1831" s="10"/>
      <c r="V1831" s="10"/>
      <c r="W1831" s="10"/>
      <c r="X1831" s="10"/>
      <c r="Y1831" s="10"/>
    </row>
    <row r="1832" spans="1:25" ht="16.5" customHeight="1" x14ac:dyDescent="0.2">
      <c r="A1832" s="327" t="s">
        <v>120</v>
      </c>
      <c r="B1832" s="328"/>
      <c r="C1832" s="328"/>
      <c r="D1832" s="182" t="s">
        <v>121</v>
      </c>
      <c r="E1832" s="182" t="s">
        <v>122</v>
      </c>
      <c r="F1832" s="181" t="s">
        <v>123</v>
      </c>
      <c r="G1832" s="181" t="s">
        <v>124</v>
      </c>
      <c r="H1832" s="181" t="s">
        <v>128</v>
      </c>
      <c r="I1832" s="182" t="s">
        <v>125</v>
      </c>
      <c r="J1832" s="182" t="s">
        <v>113</v>
      </c>
      <c r="K1832" s="10"/>
      <c r="L1832" s="10"/>
      <c r="M1832" s="10"/>
      <c r="N1832" s="10"/>
      <c r="O1832" s="10"/>
      <c r="P1832" s="10"/>
      <c r="Q1832" s="10"/>
      <c r="R1832" s="10"/>
      <c r="S1832" s="10"/>
      <c r="T1832" s="10"/>
      <c r="U1832" s="10"/>
      <c r="V1832" s="10"/>
      <c r="W1832" s="10"/>
      <c r="X1832" s="10"/>
      <c r="Y1832" s="10"/>
    </row>
    <row r="1833" spans="1:25" ht="16.5" customHeight="1" x14ac:dyDescent="0.2">
      <c r="A1833" s="318" t="s">
        <v>823</v>
      </c>
      <c r="B1833" s="319"/>
      <c r="C1833" s="332"/>
      <c r="D1833" s="148"/>
      <c r="E1833" s="148"/>
      <c r="F1833" s="148"/>
      <c r="G1833" s="148">
        <v>112</v>
      </c>
      <c r="H1833" s="148"/>
      <c r="I1833" s="148"/>
      <c r="J1833" s="170">
        <f>PRODUCT(D1833:H1833)-I1833</f>
        <v>112</v>
      </c>
      <c r="L1833" s="10"/>
      <c r="M1833" s="10"/>
      <c r="N1833" s="10"/>
      <c r="O1833" s="10"/>
      <c r="P1833" s="10"/>
      <c r="Q1833" s="10"/>
      <c r="R1833" s="10"/>
      <c r="S1833" s="10"/>
      <c r="T1833" s="10"/>
      <c r="U1833" s="10"/>
      <c r="V1833" s="10"/>
      <c r="W1833" s="10"/>
      <c r="X1833" s="10"/>
      <c r="Y1833" s="10"/>
    </row>
    <row r="1834" spans="1:25" ht="16.5" customHeight="1" x14ac:dyDescent="0.2">
      <c r="A1834" s="336" t="str">
        <f>"TOTAL - "&amp;'Planilha orçamentária'!F159</f>
        <v>TOTAL - UN</v>
      </c>
      <c r="B1834" s="337"/>
      <c r="C1834" s="337"/>
      <c r="D1834" s="337"/>
      <c r="E1834" s="337"/>
      <c r="F1834" s="337"/>
      <c r="G1834" s="337"/>
      <c r="H1834" s="337"/>
      <c r="I1834" s="338"/>
      <c r="J1834" s="149">
        <f>SUM(J1833)</f>
        <v>112</v>
      </c>
      <c r="K1834" s="10"/>
      <c r="L1834" s="10"/>
      <c r="M1834" s="10"/>
      <c r="N1834" s="10"/>
      <c r="O1834" s="10"/>
      <c r="P1834" s="10"/>
      <c r="Q1834" s="10"/>
      <c r="R1834" s="10"/>
      <c r="S1834" s="10"/>
      <c r="T1834" s="10"/>
      <c r="U1834" s="10"/>
      <c r="V1834" s="10"/>
      <c r="W1834" s="10"/>
      <c r="X1834" s="10"/>
      <c r="Y1834" s="10"/>
    </row>
    <row r="1835" spans="1:25" ht="16.5" customHeight="1" x14ac:dyDescent="0.2">
      <c r="A1835" s="184" t="str">
        <f>'Planilha orçamentária'!A160</f>
        <v>18.11</v>
      </c>
      <c r="B1835" s="343" t="str">
        <f>'Planilha orçamentária'!D160</f>
        <v xml:space="preserve">Conector mini-gar ref.: tel-583  </v>
      </c>
      <c r="C1835" s="344"/>
      <c r="D1835" s="344"/>
      <c r="E1835" s="344"/>
      <c r="F1835" s="344"/>
      <c r="G1835" s="344"/>
      <c r="H1835" s="344"/>
      <c r="I1835" s="344"/>
      <c r="J1835" s="344"/>
      <c r="K1835" s="10"/>
      <c r="L1835" s="10"/>
      <c r="M1835" s="10"/>
      <c r="N1835" s="10"/>
      <c r="O1835" s="10"/>
      <c r="P1835" s="10"/>
      <c r="Q1835" s="10"/>
      <c r="R1835" s="10"/>
      <c r="S1835" s="10"/>
      <c r="T1835" s="10"/>
      <c r="U1835" s="10"/>
      <c r="V1835" s="10"/>
      <c r="W1835" s="10"/>
      <c r="X1835" s="10"/>
      <c r="Y1835" s="10"/>
    </row>
    <row r="1836" spans="1:25" ht="16.5" customHeight="1" x14ac:dyDescent="0.2">
      <c r="A1836" s="333" t="s">
        <v>120</v>
      </c>
      <c r="B1836" s="334"/>
      <c r="C1836" s="335"/>
      <c r="D1836" s="182" t="s">
        <v>121</v>
      </c>
      <c r="E1836" s="182" t="s">
        <v>122</v>
      </c>
      <c r="F1836" s="181" t="s">
        <v>123</v>
      </c>
      <c r="G1836" s="181" t="s">
        <v>124</v>
      </c>
      <c r="H1836" s="181" t="s">
        <v>128</v>
      </c>
      <c r="I1836" s="182" t="s">
        <v>125</v>
      </c>
      <c r="J1836" s="182" t="s">
        <v>113</v>
      </c>
      <c r="K1836" s="10"/>
      <c r="L1836" s="10"/>
      <c r="M1836" s="10"/>
      <c r="N1836" s="10"/>
      <c r="O1836" s="10"/>
      <c r="P1836" s="10"/>
      <c r="Q1836" s="10"/>
      <c r="R1836" s="10"/>
      <c r="S1836" s="10"/>
      <c r="T1836" s="10"/>
      <c r="U1836" s="10"/>
      <c r="V1836" s="10"/>
      <c r="W1836" s="10"/>
      <c r="X1836" s="10"/>
      <c r="Y1836" s="10"/>
    </row>
    <row r="1837" spans="1:25" ht="16.5" customHeight="1" x14ac:dyDescent="0.2">
      <c r="A1837" s="318" t="s">
        <v>823</v>
      </c>
      <c r="B1837" s="319"/>
      <c r="C1837" s="332"/>
      <c r="D1837" s="148"/>
      <c r="E1837" s="148"/>
      <c r="F1837" s="148"/>
      <c r="G1837" s="148">
        <v>448</v>
      </c>
      <c r="H1837" s="148"/>
      <c r="I1837" s="148"/>
      <c r="J1837" s="170">
        <f>PRODUCT(D1837:H1837)-I1837</f>
        <v>448</v>
      </c>
      <c r="L1837" s="10"/>
      <c r="M1837" s="10"/>
      <c r="N1837" s="10"/>
      <c r="O1837" s="10"/>
      <c r="P1837" s="10"/>
      <c r="Q1837" s="10"/>
      <c r="R1837" s="10"/>
      <c r="S1837" s="10"/>
      <c r="T1837" s="10"/>
      <c r="U1837" s="10"/>
      <c r="V1837" s="10"/>
      <c r="W1837" s="10"/>
      <c r="X1837" s="10"/>
      <c r="Y1837" s="10"/>
    </row>
    <row r="1838" spans="1:25" ht="16.5" customHeight="1" x14ac:dyDescent="0.2">
      <c r="A1838" s="336" t="str">
        <f>"TOTAL - "&amp;'Planilha orçamentária'!F160</f>
        <v>TOTAL - UN</v>
      </c>
      <c r="B1838" s="337"/>
      <c r="C1838" s="337"/>
      <c r="D1838" s="337"/>
      <c r="E1838" s="337"/>
      <c r="F1838" s="337"/>
      <c r="G1838" s="337"/>
      <c r="H1838" s="337"/>
      <c r="I1838" s="338"/>
      <c r="J1838" s="149">
        <f>SUM(J1837)</f>
        <v>448</v>
      </c>
      <c r="K1838" s="10"/>
      <c r="L1838" s="10"/>
      <c r="M1838" s="10"/>
      <c r="N1838" s="10"/>
      <c r="O1838" s="10"/>
      <c r="P1838" s="10"/>
      <c r="Q1838" s="10"/>
      <c r="R1838" s="10"/>
      <c r="S1838" s="10"/>
      <c r="T1838" s="10"/>
      <c r="U1838" s="10"/>
      <c r="V1838" s="10"/>
      <c r="W1838" s="10"/>
      <c r="X1838" s="10"/>
      <c r="Y1838" s="10"/>
    </row>
    <row r="1839" spans="1:25" ht="16.5" customHeight="1" x14ac:dyDescent="0.2">
      <c r="A1839" s="184" t="str">
        <f>'Planilha orçamentária'!A161</f>
        <v>18.12</v>
      </c>
      <c r="B1839" s="343" t="str">
        <f>'Planilha orçamentária'!D161</f>
        <v>Parafuso em aço inox 4,2x32mm ref.: tel-5333</v>
      </c>
      <c r="C1839" s="344"/>
      <c r="D1839" s="344"/>
      <c r="E1839" s="344"/>
      <c r="F1839" s="344"/>
      <c r="G1839" s="344"/>
      <c r="H1839" s="344"/>
      <c r="I1839" s="344"/>
      <c r="J1839" s="344"/>
      <c r="K1839" s="10"/>
      <c r="L1839" s="10"/>
      <c r="M1839" s="10"/>
      <c r="N1839" s="10"/>
      <c r="O1839" s="10"/>
      <c r="P1839" s="10"/>
      <c r="Q1839" s="10"/>
      <c r="R1839" s="10"/>
      <c r="S1839" s="10"/>
      <c r="T1839" s="10"/>
      <c r="U1839" s="10"/>
      <c r="V1839" s="10"/>
      <c r="W1839" s="10"/>
      <c r="X1839" s="10"/>
      <c r="Y1839" s="10"/>
    </row>
    <row r="1840" spans="1:25" ht="16.5" customHeight="1" x14ac:dyDescent="0.2">
      <c r="A1840" s="327" t="s">
        <v>120</v>
      </c>
      <c r="B1840" s="328"/>
      <c r="C1840" s="328"/>
      <c r="D1840" s="182" t="s">
        <v>121</v>
      </c>
      <c r="E1840" s="182" t="s">
        <v>122</v>
      </c>
      <c r="F1840" s="181" t="s">
        <v>123</v>
      </c>
      <c r="G1840" s="181" t="s">
        <v>124</v>
      </c>
      <c r="H1840" s="181" t="s">
        <v>128</v>
      </c>
      <c r="I1840" s="182" t="s">
        <v>125</v>
      </c>
      <c r="J1840" s="182" t="s">
        <v>113</v>
      </c>
      <c r="K1840" s="10"/>
      <c r="L1840" s="10"/>
      <c r="M1840" s="10"/>
      <c r="N1840" s="10"/>
      <c r="O1840" s="10"/>
      <c r="P1840" s="10"/>
      <c r="Q1840" s="10"/>
      <c r="R1840" s="10"/>
      <c r="S1840" s="10"/>
      <c r="T1840" s="10"/>
      <c r="U1840" s="10"/>
      <c r="V1840" s="10"/>
      <c r="W1840" s="10"/>
      <c r="X1840" s="10"/>
      <c r="Y1840" s="10"/>
    </row>
    <row r="1841" spans="1:25" ht="16.5" customHeight="1" x14ac:dyDescent="0.2">
      <c r="A1841" s="318" t="s">
        <v>823</v>
      </c>
      <c r="B1841" s="319"/>
      <c r="C1841" s="332"/>
      <c r="D1841" s="148"/>
      <c r="E1841" s="148"/>
      <c r="F1841" s="148"/>
      <c r="G1841" s="148">
        <v>1400</v>
      </c>
      <c r="H1841" s="148"/>
      <c r="I1841" s="148"/>
      <c r="J1841" s="170">
        <f>PRODUCT(D1841:H1841)-I1841</f>
        <v>1400</v>
      </c>
      <c r="L1841" s="10"/>
      <c r="M1841" s="10"/>
      <c r="N1841" s="10"/>
      <c r="O1841" s="10"/>
      <c r="P1841" s="10"/>
      <c r="Q1841" s="10"/>
      <c r="R1841" s="10"/>
      <c r="S1841" s="10"/>
      <c r="T1841" s="10"/>
      <c r="U1841" s="10"/>
      <c r="V1841" s="10"/>
      <c r="W1841" s="10"/>
      <c r="X1841" s="10"/>
      <c r="Y1841" s="10"/>
    </row>
    <row r="1842" spans="1:25" ht="16.5" customHeight="1" x14ac:dyDescent="0.2">
      <c r="A1842" s="336" t="str">
        <f>"TOTAL - "&amp;'Planilha orçamentária'!F161</f>
        <v>TOTAL - UN</v>
      </c>
      <c r="B1842" s="337"/>
      <c r="C1842" s="337"/>
      <c r="D1842" s="337"/>
      <c r="E1842" s="337"/>
      <c r="F1842" s="337"/>
      <c r="G1842" s="337"/>
      <c r="H1842" s="337"/>
      <c r="I1842" s="338"/>
      <c r="J1842" s="149">
        <f>SUM(J1841)</f>
        <v>1400</v>
      </c>
      <c r="K1842" s="10"/>
      <c r="L1842" s="10"/>
      <c r="M1842" s="10"/>
      <c r="N1842" s="10"/>
      <c r="O1842" s="10"/>
      <c r="P1842" s="10"/>
      <c r="Q1842" s="10"/>
      <c r="R1842" s="10"/>
      <c r="S1842" s="10"/>
      <c r="T1842" s="10"/>
      <c r="U1842" s="10"/>
      <c r="V1842" s="10"/>
      <c r="W1842" s="10"/>
      <c r="X1842" s="10"/>
      <c r="Y1842" s="10"/>
    </row>
    <row r="1843" spans="1:25" ht="16.5" customHeight="1" x14ac:dyDescent="0.2">
      <c r="A1843" s="184" t="str">
        <f>'Planilha orçamentária'!A162</f>
        <v>18.13</v>
      </c>
      <c r="B1843" s="343" t="str">
        <f>'Planilha orçamentária'!D162</f>
        <v>Bucha de nylon nº6</v>
      </c>
      <c r="C1843" s="344"/>
      <c r="D1843" s="344"/>
      <c r="E1843" s="344"/>
      <c r="F1843" s="344"/>
      <c r="G1843" s="344"/>
      <c r="H1843" s="344"/>
      <c r="I1843" s="344"/>
      <c r="J1843" s="344"/>
      <c r="K1843" s="10"/>
      <c r="L1843" s="10"/>
      <c r="M1843" s="10"/>
      <c r="N1843" s="10"/>
      <c r="O1843" s="10"/>
      <c r="P1843" s="10"/>
      <c r="Q1843" s="10"/>
      <c r="R1843" s="10"/>
      <c r="S1843" s="10"/>
      <c r="T1843" s="10"/>
      <c r="U1843" s="10"/>
      <c r="V1843" s="10"/>
      <c r="W1843" s="10"/>
      <c r="X1843" s="10"/>
      <c r="Y1843" s="10"/>
    </row>
    <row r="1844" spans="1:25" ht="16.5" customHeight="1" x14ac:dyDescent="0.2">
      <c r="A1844" s="327" t="s">
        <v>120</v>
      </c>
      <c r="B1844" s="328"/>
      <c r="C1844" s="328"/>
      <c r="D1844" s="182" t="s">
        <v>121</v>
      </c>
      <c r="E1844" s="182" t="s">
        <v>122</v>
      </c>
      <c r="F1844" s="181" t="s">
        <v>123</v>
      </c>
      <c r="G1844" s="181" t="s">
        <v>124</v>
      </c>
      <c r="H1844" s="181" t="s">
        <v>128</v>
      </c>
      <c r="I1844" s="182" t="s">
        <v>125</v>
      </c>
      <c r="J1844" s="182" t="s">
        <v>113</v>
      </c>
      <c r="K1844" s="10"/>
      <c r="L1844" s="10"/>
      <c r="M1844" s="10"/>
      <c r="N1844" s="10"/>
      <c r="O1844" s="10"/>
      <c r="P1844" s="10"/>
      <c r="Q1844" s="10"/>
      <c r="R1844" s="10"/>
      <c r="S1844" s="10"/>
      <c r="T1844" s="10"/>
      <c r="U1844" s="10"/>
      <c r="V1844" s="10"/>
      <c r="W1844" s="10"/>
      <c r="X1844" s="10"/>
      <c r="Y1844" s="10"/>
    </row>
    <row r="1845" spans="1:25" ht="16.5" customHeight="1" x14ac:dyDescent="0.2">
      <c r="A1845" s="318" t="s">
        <v>823</v>
      </c>
      <c r="B1845" s="319"/>
      <c r="C1845" s="332"/>
      <c r="D1845" s="148"/>
      <c r="E1845" s="148"/>
      <c r="F1845" s="148"/>
      <c r="G1845" s="148">
        <v>1400</v>
      </c>
      <c r="H1845" s="148"/>
      <c r="I1845" s="148"/>
      <c r="J1845" s="170">
        <f>PRODUCT(D1845:H1845)-I1845</f>
        <v>1400</v>
      </c>
      <c r="L1845" s="10"/>
      <c r="M1845" s="10"/>
      <c r="N1845" s="10"/>
      <c r="O1845" s="10"/>
      <c r="P1845" s="10"/>
      <c r="Q1845" s="10"/>
      <c r="R1845" s="10"/>
      <c r="S1845" s="10"/>
      <c r="T1845" s="10"/>
      <c r="U1845" s="10"/>
      <c r="V1845" s="10"/>
      <c r="W1845" s="10"/>
      <c r="X1845" s="10"/>
      <c r="Y1845" s="10"/>
    </row>
    <row r="1846" spans="1:25" ht="16.5" customHeight="1" x14ac:dyDescent="0.2">
      <c r="A1846" s="336" t="str">
        <f>"TOTAL - "&amp;'Planilha orçamentária'!F162</f>
        <v>TOTAL - UN</v>
      </c>
      <c r="B1846" s="337"/>
      <c r="C1846" s="337"/>
      <c r="D1846" s="337"/>
      <c r="E1846" s="337"/>
      <c r="F1846" s="337"/>
      <c r="G1846" s="337"/>
      <c r="H1846" s="337"/>
      <c r="I1846" s="338"/>
      <c r="J1846" s="149">
        <f>SUM(J1845)</f>
        <v>1400</v>
      </c>
      <c r="K1846" s="10"/>
      <c r="L1846" s="10"/>
      <c r="M1846" s="10"/>
      <c r="N1846" s="10"/>
      <c r="O1846" s="10"/>
      <c r="P1846" s="10"/>
      <c r="Q1846" s="10"/>
      <c r="R1846" s="10"/>
      <c r="S1846" s="10"/>
      <c r="T1846" s="10"/>
      <c r="U1846" s="10"/>
      <c r="V1846" s="10"/>
      <c r="W1846" s="10"/>
      <c r="X1846" s="10"/>
      <c r="Y1846" s="10"/>
    </row>
    <row r="1847" spans="1:25" ht="16.5" customHeight="1" x14ac:dyDescent="0.2">
      <c r="A1847" s="184" t="str">
        <f>'Planilha orçamentária'!A163</f>
        <v>18.14</v>
      </c>
      <c r="B1847" s="343" t="str">
        <f>'Planilha orçamentária'!D163</f>
        <v>Presilha para cabo de cobre 35mm²</v>
      </c>
      <c r="C1847" s="344"/>
      <c r="D1847" s="344"/>
      <c r="E1847" s="344"/>
      <c r="F1847" s="344"/>
      <c r="G1847" s="344"/>
      <c r="H1847" s="344"/>
      <c r="I1847" s="344"/>
      <c r="J1847" s="344"/>
      <c r="K1847" s="10"/>
      <c r="L1847" s="10"/>
      <c r="M1847" s="10"/>
      <c r="N1847" s="10"/>
      <c r="O1847" s="10"/>
      <c r="P1847" s="10"/>
      <c r="Q1847" s="10"/>
      <c r="R1847" s="10"/>
      <c r="S1847" s="10"/>
      <c r="T1847" s="10"/>
      <c r="U1847" s="10"/>
      <c r="V1847" s="10"/>
      <c r="W1847" s="10"/>
      <c r="X1847" s="10"/>
      <c r="Y1847" s="10"/>
    </row>
    <row r="1848" spans="1:25" ht="16.5" customHeight="1" x14ac:dyDescent="0.2">
      <c r="A1848" s="327" t="s">
        <v>120</v>
      </c>
      <c r="B1848" s="328"/>
      <c r="C1848" s="328"/>
      <c r="D1848" s="182" t="s">
        <v>121</v>
      </c>
      <c r="E1848" s="182" t="s">
        <v>122</v>
      </c>
      <c r="F1848" s="181" t="s">
        <v>123</v>
      </c>
      <c r="G1848" s="181" t="s">
        <v>124</v>
      </c>
      <c r="H1848" s="181" t="s">
        <v>128</v>
      </c>
      <c r="I1848" s="182" t="s">
        <v>125</v>
      </c>
      <c r="J1848" s="182" t="s">
        <v>113</v>
      </c>
      <c r="K1848" s="10"/>
      <c r="L1848" s="10"/>
      <c r="M1848" s="10"/>
      <c r="N1848" s="10"/>
      <c r="O1848" s="10"/>
      <c r="P1848" s="10"/>
      <c r="Q1848" s="10"/>
      <c r="R1848" s="10"/>
      <c r="S1848" s="10"/>
      <c r="T1848" s="10"/>
      <c r="U1848" s="10"/>
      <c r="V1848" s="10"/>
      <c r="W1848" s="10"/>
      <c r="X1848" s="10"/>
      <c r="Y1848" s="10"/>
    </row>
    <row r="1849" spans="1:25" ht="16.5" customHeight="1" x14ac:dyDescent="0.2">
      <c r="A1849" s="318" t="s">
        <v>823</v>
      </c>
      <c r="B1849" s="319"/>
      <c r="C1849" s="332"/>
      <c r="D1849" s="148"/>
      <c r="E1849" s="148"/>
      <c r="F1849" s="148"/>
      <c r="G1849" s="148">
        <v>1400</v>
      </c>
      <c r="H1849" s="148"/>
      <c r="I1849" s="148"/>
      <c r="J1849" s="170">
        <f>PRODUCT(D1849:H1849)-I1849</f>
        <v>1400</v>
      </c>
      <c r="L1849" s="10"/>
      <c r="M1849" s="10"/>
      <c r="N1849" s="10"/>
      <c r="O1849" s="10"/>
      <c r="P1849" s="10"/>
      <c r="Q1849" s="10"/>
      <c r="R1849" s="10"/>
      <c r="S1849" s="10"/>
      <c r="T1849" s="10"/>
      <c r="U1849" s="10"/>
      <c r="V1849" s="10"/>
      <c r="W1849" s="10"/>
      <c r="X1849" s="10"/>
      <c r="Y1849" s="10"/>
    </row>
    <row r="1850" spans="1:25" ht="16.5" customHeight="1" x14ac:dyDescent="0.2">
      <c r="A1850" s="336" t="str">
        <f>"TOTAL - "&amp;'Planilha orçamentária'!F163</f>
        <v>TOTAL - UN</v>
      </c>
      <c r="B1850" s="337"/>
      <c r="C1850" s="337"/>
      <c r="D1850" s="337"/>
      <c r="E1850" s="337"/>
      <c r="F1850" s="337"/>
      <c r="G1850" s="337"/>
      <c r="H1850" s="337"/>
      <c r="I1850" s="338"/>
      <c r="J1850" s="149">
        <f>SUM(J1849)</f>
        <v>1400</v>
      </c>
      <c r="K1850" s="10"/>
      <c r="L1850" s="10"/>
      <c r="M1850" s="10"/>
      <c r="N1850" s="10"/>
      <c r="O1850" s="10"/>
      <c r="P1850" s="10"/>
      <c r="Q1850" s="10"/>
      <c r="R1850" s="10"/>
      <c r="S1850" s="10"/>
      <c r="T1850" s="10"/>
      <c r="U1850" s="10"/>
      <c r="V1850" s="10"/>
      <c r="W1850" s="10"/>
      <c r="X1850" s="10"/>
      <c r="Y1850" s="10"/>
    </row>
    <row r="1851" spans="1:25" ht="16.5" customHeight="1" x14ac:dyDescent="0.2">
      <c r="A1851" s="184" t="str">
        <f>'Planilha orçamentária'!A164</f>
        <v>18.15</v>
      </c>
      <c r="B1851" s="343" t="str">
        <f>'Planilha orçamentária'!D164</f>
        <v>Fixador universal com parafuso autoperfurante sextavado para conexão de pilar metálico com estruturas metálicas do telhado. Tel-5024</v>
      </c>
      <c r="C1851" s="344"/>
      <c r="D1851" s="344"/>
      <c r="E1851" s="344"/>
      <c r="F1851" s="344"/>
      <c r="G1851" s="344"/>
      <c r="H1851" s="344"/>
      <c r="I1851" s="344"/>
      <c r="J1851" s="344"/>
      <c r="K1851" s="10"/>
      <c r="L1851" s="10"/>
      <c r="M1851" s="10"/>
      <c r="N1851" s="10"/>
      <c r="O1851" s="10"/>
      <c r="P1851" s="10"/>
      <c r="Q1851" s="10"/>
      <c r="R1851" s="10"/>
      <c r="S1851" s="10"/>
      <c r="T1851" s="10"/>
      <c r="U1851" s="10"/>
      <c r="V1851" s="10"/>
      <c r="W1851" s="10"/>
      <c r="X1851" s="10"/>
      <c r="Y1851" s="10"/>
    </row>
    <row r="1852" spans="1:25" ht="16.5" customHeight="1" x14ac:dyDescent="0.2">
      <c r="A1852" s="327" t="s">
        <v>120</v>
      </c>
      <c r="B1852" s="328"/>
      <c r="C1852" s="328"/>
      <c r="D1852" s="182" t="s">
        <v>121</v>
      </c>
      <c r="E1852" s="182" t="s">
        <v>122</v>
      </c>
      <c r="F1852" s="181" t="s">
        <v>123</v>
      </c>
      <c r="G1852" s="181" t="s">
        <v>124</v>
      </c>
      <c r="H1852" s="181" t="s">
        <v>128</v>
      </c>
      <c r="I1852" s="182" t="s">
        <v>125</v>
      </c>
      <c r="J1852" s="182" t="s">
        <v>113</v>
      </c>
      <c r="K1852" s="10"/>
      <c r="L1852" s="10"/>
      <c r="M1852" s="10"/>
      <c r="N1852" s="10"/>
      <c r="O1852" s="10"/>
      <c r="P1852" s="10"/>
      <c r="Q1852" s="10"/>
      <c r="R1852" s="10"/>
      <c r="S1852" s="10"/>
      <c r="T1852" s="10"/>
      <c r="U1852" s="10"/>
      <c r="V1852" s="10"/>
      <c r="W1852" s="10"/>
      <c r="X1852" s="10"/>
      <c r="Y1852" s="10"/>
    </row>
    <row r="1853" spans="1:25" ht="16.5" customHeight="1" x14ac:dyDescent="0.2">
      <c r="A1853" s="318" t="s">
        <v>823</v>
      </c>
      <c r="B1853" s="319"/>
      <c r="C1853" s="332"/>
      <c r="D1853" s="148"/>
      <c r="E1853" s="148"/>
      <c r="F1853" s="148"/>
      <c r="G1853" s="148">
        <v>840</v>
      </c>
      <c r="H1853" s="148"/>
      <c r="I1853" s="148"/>
      <c r="J1853" s="170">
        <f>PRODUCT(D1853:H1853)-I1853</f>
        <v>840</v>
      </c>
      <c r="L1853" s="10"/>
      <c r="M1853" s="10"/>
      <c r="N1853" s="10"/>
      <c r="O1853" s="10"/>
      <c r="P1853" s="10"/>
      <c r="Q1853" s="10"/>
      <c r="R1853" s="10"/>
      <c r="S1853" s="10"/>
      <c r="T1853" s="10"/>
      <c r="U1853" s="10"/>
      <c r="V1853" s="10"/>
      <c r="W1853" s="10"/>
      <c r="X1853" s="10"/>
      <c r="Y1853" s="10"/>
    </row>
    <row r="1854" spans="1:25" ht="16.5" customHeight="1" x14ac:dyDescent="0.2">
      <c r="A1854" s="336" t="str">
        <f>"TOTAL - "&amp;'Planilha orçamentária'!F164</f>
        <v>TOTAL - UN</v>
      </c>
      <c r="B1854" s="337"/>
      <c r="C1854" s="337"/>
      <c r="D1854" s="337"/>
      <c r="E1854" s="337"/>
      <c r="F1854" s="337"/>
      <c r="G1854" s="337"/>
      <c r="H1854" s="337"/>
      <c r="I1854" s="338"/>
      <c r="J1854" s="149">
        <f>SUM(J1853)</f>
        <v>840</v>
      </c>
      <c r="K1854" s="10"/>
      <c r="L1854" s="10"/>
      <c r="M1854" s="10"/>
      <c r="N1854" s="10"/>
      <c r="O1854" s="10"/>
      <c r="P1854" s="10"/>
      <c r="Q1854" s="10"/>
      <c r="R1854" s="10"/>
      <c r="S1854" s="10"/>
      <c r="T1854" s="10"/>
      <c r="U1854" s="10"/>
      <c r="V1854" s="10"/>
      <c r="W1854" s="10"/>
      <c r="X1854" s="10"/>
      <c r="Y1854" s="10"/>
    </row>
    <row r="1855" spans="1:25" ht="16.5" customHeight="1" x14ac:dyDescent="0.2">
      <c r="A1855" s="35">
        <v>19</v>
      </c>
      <c r="B1855" s="406" t="s">
        <v>229</v>
      </c>
      <c r="C1855" s="407"/>
      <c r="D1855" s="407"/>
      <c r="E1855" s="407"/>
      <c r="F1855" s="407"/>
      <c r="G1855" s="407"/>
      <c r="H1855" s="407"/>
      <c r="I1855" s="407"/>
      <c r="J1855" s="408"/>
    </row>
    <row r="1856" spans="1:25" ht="16.5" customHeight="1" x14ac:dyDescent="0.2">
      <c r="A1856" s="184" t="str">
        <f>'Planilha orçamentária'!A167</f>
        <v>19.1</v>
      </c>
      <c r="B1856" s="343" t="str">
        <f>'Planilha orçamentária'!D167</f>
        <v>Eletroduto flexível corrugado, pvc, anti-chama, dn 25mm (3/4"), aplicado em alvenaria, exclusive rasgo</v>
      </c>
      <c r="C1856" s="344"/>
      <c r="D1856" s="344"/>
      <c r="E1856" s="344"/>
      <c r="F1856" s="344"/>
      <c r="G1856" s="344"/>
      <c r="H1856" s="344"/>
      <c r="I1856" s="344"/>
      <c r="J1856" s="344"/>
      <c r="K1856" s="10"/>
      <c r="L1856" s="10"/>
      <c r="M1856" s="10"/>
      <c r="N1856" s="10"/>
      <c r="O1856" s="10"/>
      <c r="P1856" s="10"/>
      <c r="Q1856" s="10"/>
      <c r="R1856" s="10"/>
      <c r="S1856" s="10"/>
      <c r="T1856" s="10"/>
      <c r="U1856" s="10"/>
      <c r="V1856" s="10"/>
      <c r="W1856" s="10"/>
      <c r="X1856" s="10"/>
      <c r="Y1856" s="10"/>
    </row>
    <row r="1857" spans="1:25" ht="16.5" customHeight="1" x14ac:dyDescent="0.2">
      <c r="A1857" s="327" t="s">
        <v>120</v>
      </c>
      <c r="B1857" s="328"/>
      <c r="C1857" s="328"/>
      <c r="D1857" s="182" t="s">
        <v>121</v>
      </c>
      <c r="E1857" s="182" t="s">
        <v>122</v>
      </c>
      <c r="F1857" s="181" t="s">
        <v>123</v>
      </c>
      <c r="G1857" s="181" t="s">
        <v>124</v>
      </c>
      <c r="H1857" s="181" t="s">
        <v>128</v>
      </c>
      <c r="I1857" s="182" t="s">
        <v>125</v>
      </c>
      <c r="J1857" s="182" t="s">
        <v>113</v>
      </c>
      <c r="K1857" s="10"/>
      <c r="L1857" s="10"/>
      <c r="M1857" s="10"/>
      <c r="N1857" s="10"/>
      <c r="O1857" s="10"/>
      <c r="P1857" s="10"/>
      <c r="Q1857" s="10"/>
      <c r="R1857" s="10"/>
      <c r="S1857" s="10"/>
      <c r="T1857" s="10"/>
      <c r="U1857" s="10"/>
      <c r="V1857" s="10"/>
      <c r="W1857" s="10"/>
      <c r="X1857" s="10"/>
      <c r="Y1857" s="10"/>
    </row>
    <row r="1858" spans="1:25" ht="16.5" customHeight="1" x14ac:dyDescent="0.2">
      <c r="A1858" s="318" t="s">
        <v>824</v>
      </c>
      <c r="B1858" s="319"/>
      <c r="C1858" s="332"/>
      <c r="D1858" s="148"/>
      <c r="E1858" s="148"/>
      <c r="F1858" s="148"/>
      <c r="G1858" s="148">
        <f>450*7</f>
        <v>3150</v>
      </c>
      <c r="H1858" s="148"/>
      <c r="I1858" s="148"/>
      <c r="J1858" s="170">
        <f>PRODUCT(D1858:H1858)-I1858</f>
        <v>3150</v>
      </c>
      <c r="L1858" s="10"/>
      <c r="M1858" s="10"/>
      <c r="N1858" s="10"/>
      <c r="O1858" s="10"/>
      <c r="P1858" s="10"/>
      <c r="Q1858" s="10"/>
      <c r="R1858" s="10"/>
      <c r="S1858" s="10"/>
      <c r="T1858" s="10"/>
      <c r="U1858" s="10"/>
      <c r="V1858" s="10"/>
      <c r="W1858" s="10"/>
      <c r="X1858" s="10"/>
      <c r="Y1858" s="10"/>
    </row>
    <row r="1859" spans="1:25" ht="16.5" customHeight="1" x14ac:dyDescent="0.2">
      <c r="A1859" s="336" t="str">
        <f>"TOTAL - "&amp;'Planilha orçamentária'!F167</f>
        <v>TOTAL - M</v>
      </c>
      <c r="B1859" s="337"/>
      <c r="C1859" s="337"/>
      <c r="D1859" s="337"/>
      <c r="E1859" s="337"/>
      <c r="F1859" s="337"/>
      <c r="G1859" s="337"/>
      <c r="H1859" s="337"/>
      <c r="I1859" s="338"/>
      <c r="J1859" s="149">
        <f>SUM(J1858)</f>
        <v>3150</v>
      </c>
      <c r="K1859" s="10"/>
      <c r="L1859" s="10"/>
      <c r="M1859" s="10"/>
      <c r="N1859" s="10"/>
      <c r="O1859" s="10"/>
      <c r="P1859" s="10"/>
      <c r="Q1859" s="10"/>
      <c r="R1859" s="10"/>
      <c r="S1859" s="10"/>
      <c r="T1859" s="10"/>
      <c r="U1859" s="10"/>
      <c r="V1859" s="10"/>
      <c r="W1859" s="10"/>
      <c r="X1859" s="10"/>
      <c r="Y1859" s="10"/>
    </row>
    <row r="1860" spans="1:25" ht="16.5" customHeight="1" x14ac:dyDescent="0.2">
      <c r="A1860" s="184" t="str">
        <f>'Planilha orçamentária'!A168</f>
        <v>19.2</v>
      </c>
      <c r="B1860" s="343" t="str">
        <f>'Planilha orçamentária'!D168</f>
        <v>Caixa de ligação/passagem em pvc rígido para eletroduto, dimensões 4"x2", embutida em alvenaria - fornecimento e instalação</v>
      </c>
      <c r="C1860" s="344"/>
      <c r="D1860" s="344"/>
      <c r="E1860" s="344"/>
      <c r="F1860" s="344"/>
      <c r="G1860" s="344"/>
      <c r="H1860" s="344"/>
      <c r="I1860" s="344"/>
      <c r="J1860" s="344"/>
      <c r="K1860" s="10"/>
      <c r="L1860" s="10"/>
      <c r="M1860" s="10"/>
      <c r="N1860" s="10"/>
      <c r="O1860" s="10"/>
      <c r="P1860" s="10"/>
      <c r="Q1860" s="10"/>
      <c r="R1860" s="10"/>
      <c r="S1860" s="10"/>
      <c r="T1860" s="10"/>
      <c r="U1860" s="10"/>
      <c r="V1860" s="10"/>
      <c r="W1860" s="10"/>
      <c r="X1860" s="10"/>
      <c r="Y1860" s="10"/>
    </row>
    <row r="1861" spans="1:25" ht="16.5" customHeight="1" x14ac:dyDescent="0.2">
      <c r="A1861" s="327" t="s">
        <v>120</v>
      </c>
      <c r="B1861" s="328"/>
      <c r="C1861" s="328"/>
      <c r="D1861" s="182" t="s">
        <v>121</v>
      </c>
      <c r="E1861" s="182" t="s">
        <v>122</v>
      </c>
      <c r="F1861" s="181" t="s">
        <v>123</v>
      </c>
      <c r="G1861" s="181" t="s">
        <v>124</v>
      </c>
      <c r="H1861" s="181" t="s">
        <v>128</v>
      </c>
      <c r="I1861" s="182" t="s">
        <v>125</v>
      </c>
      <c r="J1861" s="182" t="s">
        <v>113</v>
      </c>
      <c r="K1861" s="10"/>
      <c r="L1861" s="10"/>
      <c r="M1861" s="10"/>
      <c r="N1861" s="10"/>
      <c r="O1861" s="10"/>
      <c r="P1861" s="10"/>
      <c r="Q1861" s="10"/>
      <c r="R1861" s="10"/>
      <c r="S1861" s="10"/>
      <c r="T1861" s="10"/>
      <c r="U1861" s="10"/>
      <c r="V1861" s="10"/>
      <c r="W1861" s="10"/>
      <c r="X1861" s="10"/>
      <c r="Y1861" s="10"/>
    </row>
    <row r="1862" spans="1:25" ht="16.5" customHeight="1" x14ac:dyDescent="0.2">
      <c r="A1862" s="318" t="s">
        <v>824</v>
      </c>
      <c r="B1862" s="319"/>
      <c r="C1862" s="332"/>
      <c r="D1862" s="148"/>
      <c r="E1862" s="148"/>
      <c r="F1862" s="148"/>
      <c r="G1862" s="148">
        <f>48*7</f>
        <v>336</v>
      </c>
      <c r="H1862" s="148"/>
      <c r="I1862" s="148"/>
      <c r="J1862" s="170">
        <f>PRODUCT(D1862:H1862)-I1862</f>
        <v>336</v>
      </c>
      <c r="L1862" s="10"/>
      <c r="M1862" s="10"/>
      <c r="N1862" s="10"/>
      <c r="O1862" s="10"/>
      <c r="P1862" s="10"/>
      <c r="Q1862" s="10"/>
      <c r="R1862" s="10"/>
      <c r="S1862" s="10"/>
      <c r="T1862" s="10"/>
      <c r="U1862" s="10"/>
      <c r="V1862" s="10"/>
      <c r="W1862" s="10"/>
      <c r="X1862" s="10"/>
      <c r="Y1862" s="10"/>
    </row>
    <row r="1863" spans="1:25" ht="16.5" customHeight="1" x14ac:dyDescent="0.2">
      <c r="A1863" s="336" t="str">
        <f>"TOTAL - "&amp;'Planilha orçamentária'!F168</f>
        <v>TOTAL - UN</v>
      </c>
      <c r="B1863" s="337"/>
      <c r="C1863" s="337"/>
      <c r="D1863" s="337"/>
      <c r="E1863" s="337"/>
      <c r="F1863" s="337"/>
      <c r="G1863" s="337"/>
      <c r="H1863" s="337"/>
      <c r="I1863" s="338"/>
      <c r="J1863" s="149">
        <f>SUM(J1862)</f>
        <v>336</v>
      </c>
      <c r="K1863" s="10"/>
      <c r="L1863" s="10"/>
      <c r="M1863" s="10"/>
      <c r="N1863" s="10"/>
      <c r="O1863" s="10"/>
      <c r="P1863" s="10"/>
      <c r="Q1863" s="10"/>
      <c r="R1863" s="10"/>
      <c r="S1863" s="10"/>
      <c r="T1863" s="10"/>
      <c r="U1863" s="10"/>
      <c r="V1863" s="10"/>
      <c r="W1863" s="10"/>
      <c r="X1863" s="10"/>
      <c r="Y1863" s="10"/>
    </row>
    <row r="1864" spans="1:25" ht="16.5" customHeight="1" x14ac:dyDescent="0.2">
      <c r="A1864" s="184" t="str">
        <f>'Planilha orçamentária'!A169</f>
        <v>19.3</v>
      </c>
      <c r="B1864" s="343" t="str">
        <f>'Planilha orçamentária'!D169</f>
        <v>Cabo coaxial rg-59, impedância 75 OHM, condutor em fio de cobre nu, blindagem trança formada por fios de cobre malha 90%</v>
      </c>
      <c r="C1864" s="344"/>
      <c r="D1864" s="344"/>
      <c r="E1864" s="344"/>
      <c r="F1864" s="344"/>
      <c r="G1864" s="344"/>
      <c r="H1864" s="344"/>
      <c r="I1864" s="344"/>
      <c r="J1864" s="344"/>
      <c r="K1864" s="10"/>
      <c r="L1864" s="10"/>
      <c r="M1864" s="10"/>
      <c r="N1864" s="10"/>
      <c r="O1864" s="10"/>
      <c r="P1864" s="10"/>
      <c r="Q1864" s="10"/>
      <c r="R1864" s="10"/>
      <c r="S1864" s="10"/>
      <c r="T1864" s="10"/>
      <c r="U1864" s="10"/>
      <c r="V1864" s="10"/>
      <c r="W1864" s="10"/>
      <c r="X1864" s="10"/>
      <c r="Y1864" s="10"/>
    </row>
    <row r="1865" spans="1:25" ht="16.5" customHeight="1" x14ac:dyDescent="0.2">
      <c r="A1865" s="327" t="s">
        <v>120</v>
      </c>
      <c r="B1865" s="328"/>
      <c r="C1865" s="328"/>
      <c r="D1865" s="182" t="s">
        <v>121</v>
      </c>
      <c r="E1865" s="182" t="s">
        <v>122</v>
      </c>
      <c r="F1865" s="181" t="s">
        <v>123</v>
      </c>
      <c r="G1865" s="181" t="s">
        <v>124</v>
      </c>
      <c r="H1865" s="181" t="s">
        <v>128</v>
      </c>
      <c r="I1865" s="182" t="s">
        <v>125</v>
      </c>
      <c r="J1865" s="182" t="s">
        <v>113</v>
      </c>
      <c r="K1865" s="10"/>
      <c r="L1865" s="10"/>
      <c r="M1865" s="10"/>
      <c r="N1865" s="10"/>
      <c r="O1865" s="10"/>
      <c r="P1865" s="10"/>
      <c r="Q1865" s="10"/>
      <c r="R1865" s="10"/>
      <c r="S1865" s="10"/>
      <c r="T1865" s="10"/>
      <c r="U1865" s="10"/>
      <c r="V1865" s="10"/>
      <c r="W1865" s="10"/>
      <c r="X1865" s="10"/>
      <c r="Y1865" s="10"/>
    </row>
    <row r="1866" spans="1:25" ht="16.5" customHeight="1" x14ac:dyDescent="0.2">
      <c r="A1866" s="318" t="s">
        <v>824</v>
      </c>
      <c r="B1866" s="319"/>
      <c r="C1866" s="332"/>
      <c r="D1866" s="148"/>
      <c r="E1866" s="148"/>
      <c r="F1866" s="148"/>
      <c r="G1866" s="148">
        <f>200*7</f>
        <v>1400</v>
      </c>
      <c r="H1866" s="148"/>
      <c r="I1866" s="148"/>
      <c r="J1866" s="170">
        <f>PRODUCT(D1866:H1866)-I1866</f>
        <v>1400</v>
      </c>
      <c r="L1866" s="10"/>
      <c r="M1866" s="10"/>
      <c r="N1866" s="10"/>
      <c r="O1866" s="10"/>
      <c r="P1866" s="10"/>
      <c r="Q1866" s="10"/>
      <c r="R1866" s="10"/>
      <c r="S1866" s="10"/>
      <c r="T1866" s="10"/>
      <c r="U1866" s="10"/>
      <c r="V1866" s="10"/>
      <c r="W1866" s="10"/>
      <c r="X1866" s="10"/>
      <c r="Y1866" s="10"/>
    </row>
    <row r="1867" spans="1:25" ht="16.5" customHeight="1" x14ac:dyDescent="0.2">
      <c r="A1867" s="336" t="str">
        <f>"TOTAL - "&amp;'Planilha orçamentária'!F169</f>
        <v>TOTAL - M</v>
      </c>
      <c r="B1867" s="337"/>
      <c r="C1867" s="337"/>
      <c r="D1867" s="337"/>
      <c r="E1867" s="337"/>
      <c r="F1867" s="337"/>
      <c r="G1867" s="337"/>
      <c r="H1867" s="337"/>
      <c r="I1867" s="338"/>
      <c r="J1867" s="149">
        <f>SUM(J1866)</f>
        <v>1400</v>
      </c>
      <c r="K1867" s="10"/>
      <c r="L1867" s="10"/>
      <c r="M1867" s="10"/>
      <c r="N1867" s="10"/>
      <c r="O1867" s="10"/>
      <c r="P1867" s="10"/>
      <c r="Q1867" s="10"/>
      <c r="R1867" s="10"/>
      <c r="S1867" s="10"/>
      <c r="T1867" s="10"/>
      <c r="U1867" s="10"/>
      <c r="V1867" s="10"/>
      <c r="W1867" s="10"/>
      <c r="X1867" s="10"/>
      <c r="Y1867" s="10"/>
    </row>
    <row r="1868" spans="1:25" ht="16.5" customHeight="1" x14ac:dyDescent="0.2">
      <c r="A1868" s="184" t="str">
        <f>'Planilha orçamentária'!A170</f>
        <v>19.4</v>
      </c>
      <c r="B1868" s="343" t="str">
        <f>'Planilha orçamentária'!D170</f>
        <v>Caixa de passagem em chapa de aço, embutir 153 x 153 x 82 mm</v>
      </c>
      <c r="C1868" s="344"/>
      <c r="D1868" s="344"/>
      <c r="E1868" s="344"/>
      <c r="F1868" s="344"/>
      <c r="G1868" s="344"/>
      <c r="H1868" s="344"/>
      <c r="I1868" s="344"/>
      <c r="J1868" s="344"/>
      <c r="K1868" s="10"/>
      <c r="L1868" s="10"/>
      <c r="M1868" s="10"/>
      <c r="N1868" s="10"/>
      <c r="O1868" s="10"/>
      <c r="P1868" s="10"/>
      <c r="Q1868" s="10"/>
      <c r="R1868" s="10"/>
      <c r="S1868" s="10"/>
      <c r="T1868" s="10"/>
      <c r="U1868" s="10"/>
      <c r="V1868" s="10"/>
      <c r="W1868" s="10"/>
      <c r="X1868" s="10"/>
      <c r="Y1868" s="10"/>
    </row>
    <row r="1869" spans="1:25" ht="16.5" customHeight="1" x14ac:dyDescent="0.2">
      <c r="A1869" s="327" t="s">
        <v>120</v>
      </c>
      <c r="B1869" s="328"/>
      <c r="C1869" s="328"/>
      <c r="D1869" s="182" t="s">
        <v>121</v>
      </c>
      <c r="E1869" s="182" t="s">
        <v>122</v>
      </c>
      <c r="F1869" s="181" t="s">
        <v>123</v>
      </c>
      <c r="G1869" s="181" t="s">
        <v>124</v>
      </c>
      <c r="H1869" s="181" t="s">
        <v>128</v>
      </c>
      <c r="I1869" s="182" t="s">
        <v>125</v>
      </c>
      <c r="J1869" s="182" t="s">
        <v>113</v>
      </c>
      <c r="K1869" s="10"/>
      <c r="L1869" s="10"/>
      <c r="M1869" s="10"/>
      <c r="N1869" s="10"/>
      <c r="O1869" s="10"/>
      <c r="P1869" s="10"/>
      <c r="Q1869" s="10"/>
      <c r="R1869" s="10"/>
      <c r="S1869" s="10"/>
      <c r="T1869" s="10"/>
      <c r="U1869" s="10"/>
      <c r="V1869" s="10"/>
      <c r="W1869" s="10"/>
      <c r="X1869" s="10"/>
      <c r="Y1869" s="10"/>
    </row>
    <row r="1870" spans="1:25" ht="16.5" customHeight="1" x14ac:dyDescent="0.2">
      <c r="A1870" s="318" t="s">
        <v>825</v>
      </c>
      <c r="B1870" s="319"/>
      <c r="C1870" s="332"/>
      <c r="D1870" s="148"/>
      <c r="E1870" s="148"/>
      <c r="F1870" s="148"/>
      <c r="G1870" s="148">
        <f>12*7</f>
        <v>84</v>
      </c>
      <c r="H1870" s="148"/>
      <c r="I1870" s="148"/>
      <c r="J1870" s="170">
        <f>PRODUCT(D1870:H1870)-I1870</f>
        <v>84</v>
      </c>
      <c r="L1870" s="10"/>
      <c r="M1870" s="10"/>
      <c r="N1870" s="10"/>
      <c r="O1870" s="10"/>
      <c r="P1870" s="10"/>
      <c r="Q1870" s="10"/>
      <c r="R1870" s="10"/>
      <c r="S1870" s="10"/>
      <c r="T1870" s="10"/>
      <c r="U1870" s="10"/>
      <c r="V1870" s="10"/>
      <c r="W1870" s="10"/>
      <c r="X1870" s="10"/>
      <c r="Y1870" s="10"/>
    </row>
    <row r="1871" spans="1:25" ht="16.5" customHeight="1" x14ac:dyDescent="0.2">
      <c r="A1871" s="336" t="str">
        <f>"TOTAL - "&amp;'Planilha orçamentária'!F170</f>
        <v>TOTAL - UN</v>
      </c>
      <c r="B1871" s="337"/>
      <c r="C1871" s="337"/>
      <c r="D1871" s="337"/>
      <c r="E1871" s="337"/>
      <c r="F1871" s="337"/>
      <c r="G1871" s="337"/>
      <c r="H1871" s="337"/>
      <c r="I1871" s="338"/>
      <c r="J1871" s="149">
        <f>SUM(J1870)</f>
        <v>84</v>
      </c>
      <c r="K1871" s="10"/>
      <c r="L1871" s="10"/>
      <c r="M1871" s="10"/>
      <c r="N1871" s="10"/>
      <c r="O1871" s="10"/>
      <c r="P1871" s="10"/>
      <c r="Q1871" s="10"/>
      <c r="R1871" s="10"/>
      <c r="S1871" s="10"/>
      <c r="T1871" s="10"/>
      <c r="U1871" s="10"/>
      <c r="V1871" s="10"/>
      <c r="W1871" s="10"/>
      <c r="X1871" s="10"/>
      <c r="Y1871" s="10"/>
    </row>
    <row r="1872" spans="1:25" s="166" customFormat="1" ht="16.5" customHeight="1" x14ac:dyDescent="0.2">
      <c r="A1872" s="184" t="str">
        <f>'Planilha orçamentária'!A171</f>
        <v>19.5</v>
      </c>
      <c r="B1872" s="343" t="str">
        <f>'Planilha orçamentária'!D171</f>
        <v>Conjunto de uma (1) placa cega 4"x2", inclusive fornecimento, instalação, suporte e placa</v>
      </c>
      <c r="C1872" s="344"/>
      <c r="D1872" s="344"/>
      <c r="E1872" s="344"/>
      <c r="F1872" s="344"/>
      <c r="G1872" s="344"/>
      <c r="H1872" s="344"/>
      <c r="I1872" s="344"/>
      <c r="J1872" s="344"/>
      <c r="K1872" s="10"/>
      <c r="L1872" s="10"/>
      <c r="M1872" s="10"/>
      <c r="N1872" s="10"/>
      <c r="O1872" s="10"/>
      <c r="P1872" s="10"/>
      <c r="Q1872" s="10"/>
      <c r="R1872" s="10"/>
      <c r="S1872" s="10"/>
      <c r="T1872" s="10"/>
      <c r="U1872" s="10"/>
      <c r="V1872" s="10"/>
      <c r="W1872" s="10"/>
      <c r="X1872" s="10"/>
      <c r="Y1872" s="10"/>
    </row>
    <row r="1873" spans="1:25" s="166" customFormat="1" ht="16.5" customHeight="1" x14ac:dyDescent="0.2">
      <c r="A1873" s="327" t="s">
        <v>120</v>
      </c>
      <c r="B1873" s="328"/>
      <c r="C1873" s="328"/>
      <c r="D1873" s="208" t="s">
        <v>121</v>
      </c>
      <c r="E1873" s="208" t="s">
        <v>122</v>
      </c>
      <c r="F1873" s="209" t="s">
        <v>123</v>
      </c>
      <c r="G1873" s="209" t="s">
        <v>124</v>
      </c>
      <c r="H1873" s="209" t="s">
        <v>128</v>
      </c>
      <c r="I1873" s="208" t="s">
        <v>125</v>
      </c>
      <c r="J1873" s="208" t="s">
        <v>113</v>
      </c>
      <c r="K1873" s="10"/>
      <c r="L1873" s="10"/>
      <c r="M1873" s="10"/>
      <c r="N1873" s="10"/>
      <c r="O1873" s="10"/>
      <c r="P1873" s="10"/>
      <c r="Q1873" s="10"/>
      <c r="R1873" s="10"/>
      <c r="S1873" s="10"/>
      <c r="T1873" s="10"/>
      <c r="U1873" s="10"/>
      <c r="V1873" s="10"/>
      <c r="W1873" s="10"/>
      <c r="X1873" s="10"/>
      <c r="Y1873" s="10"/>
    </row>
    <row r="1874" spans="1:25" s="166" customFormat="1" ht="16.5" customHeight="1" x14ac:dyDescent="0.2">
      <c r="A1874" s="318" t="s">
        <v>825</v>
      </c>
      <c r="B1874" s="319"/>
      <c r="C1874" s="332"/>
      <c r="D1874" s="148"/>
      <c r="E1874" s="148"/>
      <c r="F1874" s="148"/>
      <c r="G1874" s="148">
        <f>16*7</f>
        <v>112</v>
      </c>
      <c r="H1874" s="148"/>
      <c r="I1874" s="148"/>
      <c r="J1874" s="170">
        <f>PRODUCT(D1874:H1874)-I1874</f>
        <v>112</v>
      </c>
      <c r="L1874" s="10"/>
      <c r="M1874" s="10"/>
      <c r="N1874" s="10"/>
      <c r="O1874" s="10"/>
      <c r="P1874" s="10"/>
      <c r="Q1874" s="10"/>
      <c r="R1874" s="10"/>
      <c r="S1874" s="10"/>
      <c r="T1874" s="10"/>
      <c r="U1874" s="10"/>
      <c r="V1874" s="10"/>
      <c r="W1874" s="10"/>
      <c r="X1874" s="10"/>
      <c r="Y1874" s="10"/>
    </row>
    <row r="1875" spans="1:25" s="166" customFormat="1" ht="16.5" customHeight="1" x14ac:dyDescent="0.2">
      <c r="A1875" s="336" t="str">
        <f>"TOTAL - "&amp;'Planilha orçamentária'!F171</f>
        <v>TOTAL - UN</v>
      </c>
      <c r="B1875" s="337"/>
      <c r="C1875" s="337"/>
      <c r="D1875" s="337"/>
      <c r="E1875" s="337"/>
      <c r="F1875" s="337"/>
      <c r="G1875" s="337"/>
      <c r="H1875" s="337"/>
      <c r="I1875" s="338"/>
      <c r="J1875" s="149">
        <f>SUM(J1874)</f>
        <v>112</v>
      </c>
      <c r="K1875" s="10"/>
      <c r="L1875" s="10"/>
      <c r="M1875" s="10"/>
      <c r="N1875" s="10"/>
      <c r="O1875" s="10"/>
      <c r="P1875" s="10"/>
      <c r="Q1875" s="10"/>
      <c r="R1875" s="10"/>
      <c r="S1875" s="10"/>
      <c r="T1875" s="10"/>
      <c r="U1875" s="10"/>
      <c r="V1875" s="10"/>
      <c r="W1875" s="10"/>
      <c r="X1875" s="10"/>
      <c r="Y1875" s="10"/>
    </row>
    <row r="1876" spans="1:25" ht="16.5" customHeight="1" x14ac:dyDescent="0.2">
      <c r="A1876" s="184" t="str">
        <f>'Planilha orçamentária'!A172</f>
        <v>19.6</v>
      </c>
      <c r="B1876" s="343" t="str">
        <f>'Planilha orçamentária'!D172</f>
        <v>Conjunto de um (1) módulo com furo para saída de fio Ø10mm, com placa 4"x2" de um (1) posto, inclusive fornecimento, instalação, suporte módulo e placa</v>
      </c>
      <c r="C1876" s="344"/>
      <c r="D1876" s="344"/>
      <c r="E1876" s="344"/>
      <c r="F1876" s="344"/>
      <c r="G1876" s="344"/>
      <c r="H1876" s="344"/>
      <c r="I1876" s="344"/>
      <c r="J1876" s="344"/>
      <c r="K1876" s="10"/>
      <c r="L1876" s="10"/>
      <c r="M1876" s="10"/>
      <c r="N1876" s="10"/>
      <c r="O1876" s="10"/>
      <c r="P1876" s="10"/>
      <c r="Q1876" s="10"/>
      <c r="R1876" s="10"/>
      <c r="S1876" s="10"/>
      <c r="T1876" s="10"/>
      <c r="U1876" s="10"/>
      <c r="V1876" s="10"/>
      <c r="W1876" s="10"/>
      <c r="X1876" s="10"/>
      <c r="Y1876" s="10"/>
    </row>
    <row r="1877" spans="1:25" ht="16.5" customHeight="1" x14ac:dyDescent="0.2">
      <c r="A1877" s="327" t="s">
        <v>120</v>
      </c>
      <c r="B1877" s="328"/>
      <c r="C1877" s="328"/>
      <c r="D1877" s="182" t="s">
        <v>121</v>
      </c>
      <c r="E1877" s="182" t="s">
        <v>122</v>
      </c>
      <c r="F1877" s="181" t="s">
        <v>123</v>
      </c>
      <c r="G1877" s="181" t="s">
        <v>124</v>
      </c>
      <c r="H1877" s="181" t="s">
        <v>128</v>
      </c>
      <c r="I1877" s="182" t="s">
        <v>125</v>
      </c>
      <c r="J1877" s="182" t="s">
        <v>113</v>
      </c>
      <c r="K1877" s="10"/>
      <c r="L1877" s="10"/>
      <c r="M1877" s="10"/>
      <c r="N1877" s="10"/>
      <c r="O1877" s="10"/>
      <c r="P1877" s="10"/>
      <c r="Q1877" s="10"/>
      <c r="R1877" s="10"/>
      <c r="S1877" s="10"/>
      <c r="T1877" s="10"/>
      <c r="U1877" s="10"/>
      <c r="V1877" s="10"/>
      <c r="W1877" s="10"/>
      <c r="X1877" s="10"/>
      <c r="Y1877" s="10"/>
    </row>
    <row r="1878" spans="1:25" ht="16.5" customHeight="1" x14ac:dyDescent="0.2">
      <c r="A1878" s="318" t="s">
        <v>824</v>
      </c>
      <c r="B1878" s="319"/>
      <c r="C1878" s="332"/>
      <c r="D1878" s="148"/>
      <c r="E1878" s="148"/>
      <c r="F1878" s="148"/>
      <c r="G1878" s="148">
        <f>16*7</f>
        <v>112</v>
      </c>
      <c r="H1878" s="148"/>
      <c r="I1878" s="148"/>
      <c r="J1878" s="170">
        <f>PRODUCT(D1878:H1878)-I1878</f>
        <v>112</v>
      </c>
      <c r="L1878" s="10"/>
      <c r="M1878" s="10"/>
      <c r="N1878" s="10"/>
      <c r="O1878" s="10"/>
      <c r="P1878" s="10"/>
      <c r="Q1878" s="10"/>
      <c r="R1878" s="10"/>
      <c r="S1878" s="10"/>
      <c r="T1878" s="10"/>
      <c r="U1878" s="10"/>
      <c r="V1878" s="10"/>
      <c r="W1878" s="10"/>
      <c r="X1878" s="10"/>
      <c r="Y1878" s="10"/>
    </row>
    <row r="1879" spans="1:25" ht="16.5" customHeight="1" x14ac:dyDescent="0.2">
      <c r="A1879" s="336" t="str">
        <f>"TOTAL - "&amp;'Planilha orçamentária'!F172</f>
        <v>TOTAL - UN</v>
      </c>
      <c r="B1879" s="337"/>
      <c r="C1879" s="337"/>
      <c r="D1879" s="337"/>
      <c r="E1879" s="337"/>
      <c r="F1879" s="337"/>
      <c r="G1879" s="337"/>
      <c r="H1879" s="337"/>
      <c r="I1879" s="338"/>
      <c r="J1879" s="149">
        <f>SUM(J1878)</f>
        <v>112</v>
      </c>
      <c r="K1879" s="10"/>
      <c r="L1879" s="10"/>
      <c r="M1879" s="10"/>
      <c r="N1879" s="10"/>
      <c r="O1879" s="10"/>
      <c r="P1879" s="10"/>
      <c r="Q1879" s="10"/>
      <c r="R1879" s="10"/>
      <c r="S1879" s="10"/>
      <c r="T1879" s="10"/>
      <c r="U1879" s="10"/>
      <c r="V1879" s="10"/>
      <c r="W1879" s="10"/>
      <c r="X1879" s="10"/>
      <c r="Y1879" s="10"/>
    </row>
    <row r="1880" spans="1:25" ht="16.5" customHeight="1" x14ac:dyDescent="0.2">
      <c r="A1880" s="184" t="str">
        <f>'Planilha orçamentária'!A173</f>
        <v>19.7</v>
      </c>
      <c r="B1880" s="343" t="str">
        <f>'Planilha orçamentária'!D173</f>
        <v>Conjunto de uma (1) tomada de antena (conector coaxial), com placa 4"x2" de um (1) posto, inclusive fornecimento, instalação, suporte, módulo e placa</v>
      </c>
      <c r="C1880" s="344"/>
      <c r="D1880" s="344"/>
      <c r="E1880" s="344"/>
      <c r="F1880" s="344"/>
      <c r="G1880" s="344"/>
      <c r="H1880" s="344"/>
      <c r="I1880" s="344"/>
      <c r="J1880" s="344"/>
      <c r="K1880" s="10"/>
      <c r="L1880" s="10"/>
      <c r="M1880" s="10"/>
      <c r="N1880" s="10"/>
      <c r="O1880" s="10"/>
      <c r="P1880" s="10"/>
      <c r="Q1880" s="10"/>
      <c r="R1880" s="10"/>
      <c r="S1880" s="10"/>
      <c r="T1880" s="10"/>
      <c r="U1880" s="10"/>
      <c r="V1880" s="10"/>
      <c r="W1880" s="10"/>
      <c r="X1880" s="10"/>
      <c r="Y1880" s="10"/>
    </row>
    <row r="1881" spans="1:25" ht="16.5" customHeight="1" x14ac:dyDescent="0.2">
      <c r="A1881" s="333" t="s">
        <v>120</v>
      </c>
      <c r="B1881" s="334"/>
      <c r="C1881" s="335"/>
      <c r="D1881" s="182" t="s">
        <v>121</v>
      </c>
      <c r="E1881" s="182" t="s">
        <v>122</v>
      </c>
      <c r="F1881" s="181" t="s">
        <v>123</v>
      </c>
      <c r="G1881" s="181" t="s">
        <v>124</v>
      </c>
      <c r="H1881" s="181" t="s">
        <v>128</v>
      </c>
      <c r="I1881" s="182" t="s">
        <v>125</v>
      </c>
      <c r="J1881" s="182" t="s">
        <v>113</v>
      </c>
      <c r="K1881" s="10"/>
      <c r="L1881" s="10"/>
      <c r="M1881" s="10"/>
      <c r="N1881" s="10"/>
      <c r="O1881" s="10"/>
      <c r="P1881" s="10"/>
      <c r="Q1881" s="10"/>
      <c r="R1881" s="10"/>
      <c r="S1881" s="10"/>
      <c r="T1881" s="10"/>
      <c r="U1881" s="10"/>
      <c r="V1881" s="10"/>
      <c r="W1881" s="10"/>
      <c r="X1881" s="10"/>
      <c r="Y1881" s="10"/>
    </row>
    <row r="1882" spans="1:25" ht="16.5" customHeight="1" x14ac:dyDescent="0.2">
      <c r="A1882" s="318" t="s">
        <v>826</v>
      </c>
      <c r="B1882" s="319"/>
      <c r="C1882" s="332"/>
      <c r="D1882" s="148"/>
      <c r="E1882" s="148"/>
      <c r="F1882" s="148"/>
      <c r="G1882" s="148">
        <f>16*7</f>
        <v>112</v>
      </c>
      <c r="H1882" s="148"/>
      <c r="I1882" s="148"/>
      <c r="J1882" s="170">
        <f>PRODUCT(D1882:H1882)-I1882</f>
        <v>112</v>
      </c>
      <c r="L1882" s="10"/>
      <c r="M1882" s="10"/>
      <c r="N1882" s="10"/>
      <c r="O1882" s="10"/>
      <c r="P1882" s="10"/>
      <c r="Q1882" s="10"/>
      <c r="R1882" s="10"/>
      <c r="S1882" s="10"/>
      <c r="T1882" s="10"/>
      <c r="U1882" s="10"/>
      <c r="V1882" s="10"/>
      <c r="W1882" s="10"/>
      <c r="X1882" s="10"/>
      <c r="Y1882" s="10"/>
    </row>
    <row r="1883" spans="1:25" ht="16.5" customHeight="1" x14ac:dyDescent="0.2">
      <c r="A1883" s="336" t="str">
        <f>"TOTAL - "&amp;'Planilha orçamentária'!F173</f>
        <v>TOTAL - UN</v>
      </c>
      <c r="B1883" s="337"/>
      <c r="C1883" s="337"/>
      <c r="D1883" s="337"/>
      <c r="E1883" s="337"/>
      <c r="F1883" s="337"/>
      <c r="G1883" s="337"/>
      <c r="H1883" s="337"/>
      <c r="I1883" s="338"/>
      <c r="J1883" s="149">
        <f>SUM(J1882)</f>
        <v>112</v>
      </c>
      <c r="K1883" s="10"/>
      <c r="L1883" s="10"/>
      <c r="M1883" s="10"/>
      <c r="N1883" s="10"/>
      <c r="O1883" s="10"/>
      <c r="P1883" s="10"/>
      <c r="Q1883" s="10"/>
      <c r="R1883" s="10"/>
      <c r="S1883" s="10"/>
      <c r="T1883" s="10"/>
      <c r="U1883" s="10"/>
      <c r="V1883" s="10"/>
      <c r="W1883" s="10"/>
      <c r="X1883" s="10"/>
      <c r="Y1883" s="10"/>
    </row>
    <row r="1884" spans="1:25" ht="16.5" customHeight="1" x14ac:dyDescent="0.2">
      <c r="A1884" s="35">
        <f>'Planilha orçamentária'!A175</f>
        <v>20</v>
      </c>
      <c r="B1884" s="406" t="str">
        <f>'Planilha orçamentária'!D175</f>
        <v>COBERTURA</v>
      </c>
      <c r="C1884" s="407"/>
      <c r="D1884" s="407"/>
      <c r="E1884" s="407"/>
      <c r="F1884" s="407"/>
      <c r="G1884" s="407"/>
      <c r="H1884" s="407"/>
      <c r="I1884" s="407"/>
      <c r="J1884" s="408"/>
    </row>
    <row r="1885" spans="1:25" ht="16.5" customHeight="1" x14ac:dyDescent="0.2">
      <c r="A1885" s="184" t="str">
        <f>'Planilha orçamentária'!A176</f>
        <v>20.1</v>
      </c>
      <c r="B1885" s="343" t="str">
        <f>'Planilha orçamentária'!D176</f>
        <v>Calha em chapa galvanizada, esp. 0,65mm (GSG-24), com desenvolvimento de 60cm, inclusive içamento manual vertical</v>
      </c>
      <c r="C1885" s="344"/>
      <c r="D1885" s="344"/>
      <c r="E1885" s="344"/>
      <c r="F1885" s="344"/>
      <c r="G1885" s="344"/>
      <c r="H1885" s="344"/>
      <c r="I1885" s="344"/>
      <c r="J1885" s="344"/>
      <c r="K1885" s="10"/>
      <c r="L1885" s="10"/>
      <c r="M1885" s="10"/>
      <c r="N1885" s="10"/>
      <c r="O1885" s="10"/>
      <c r="P1885" s="10"/>
      <c r="Q1885" s="10"/>
      <c r="R1885" s="10"/>
      <c r="S1885" s="10"/>
      <c r="T1885" s="10"/>
      <c r="U1885" s="10"/>
      <c r="V1885" s="10"/>
      <c r="W1885" s="10"/>
      <c r="X1885" s="10"/>
      <c r="Y1885" s="10"/>
    </row>
    <row r="1886" spans="1:25" ht="16.5" customHeight="1" x14ac:dyDescent="0.2">
      <c r="A1886" s="327" t="s">
        <v>120</v>
      </c>
      <c r="B1886" s="328"/>
      <c r="C1886" s="328"/>
      <c r="D1886" s="182" t="s">
        <v>121</v>
      </c>
      <c r="E1886" s="182" t="s">
        <v>122</v>
      </c>
      <c r="F1886" s="181" t="s">
        <v>123</v>
      </c>
      <c r="G1886" s="181" t="s">
        <v>124</v>
      </c>
      <c r="H1886" s="181" t="s">
        <v>490</v>
      </c>
      <c r="I1886" s="182" t="s">
        <v>126</v>
      </c>
      <c r="J1886" s="182" t="s">
        <v>113</v>
      </c>
      <c r="K1886" s="10"/>
      <c r="L1886" s="10"/>
      <c r="M1886" s="10"/>
      <c r="N1886" s="10"/>
      <c r="O1886" s="10"/>
      <c r="P1886" s="10"/>
      <c r="Q1886" s="10"/>
      <c r="R1886" s="10"/>
      <c r="S1886" s="10"/>
      <c r="T1886" s="10"/>
      <c r="U1886" s="10"/>
      <c r="V1886" s="10"/>
      <c r="W1886" s="10"/>
      <c r="X1886" s="10"/>
      <c r="Y1886" s="10"/>
    </row>
    <row r="1887" spans="1:25" ht="16.5" customHeight="1" x14ac:dyDescent="0.2">
      <c r="A1887" s="318" t="s">
        <v>827</v>
      </c>
      <c r="B1887" s="319"/>
      <c r="C1887" s="332"/>
      <c r="D1887" s="148">
        <v>16.71</v>
      </c>
      <c r="E1887" s="148"/>
      <c r="F1887" s="148"/>
      <c r="G1887" s="148">
        <v>2</v>
      </c>
      <c r="H1887" s="148">
        <v>7</v>
      </c>
      <c r="I1887" s="148"/>
      <c r="J1887" s="170">
        <f>PRODUCT(D1887:H1887)-I1887</f>
        <v>233.94</v>
      </c>
      <c r="L1887" s="10"/>
      <c r="M1887" s="10"/>
      <c r="N1887" s="10"/>
      <c r="O1887" s="10"/>
      <c r="P1887" s="10"/>
      <c r="Q1887" s="10"/>
      <c r="R1887" s="10"/>
      <c r="S1887" s="10"/>
      <c r="T1887" s="10"/>
      <c r="U1887" s="10"/>
      <c r="V1887" s="10"/>
      <c r="W1887" s="10"/>
      <c r="X1887" s="10"/>
      <c r="Y1887" s="10"/>
    </row>
    <row r="1888" spans="1:25" ht="16.5" customHeight="1" x14ac:dyDescent="0.2">
      <c r="A1888" s="318" t="s">
        <v>828</v>
      </c>
      <c r="B1888" s="319"/>
      <c r="C1888" s="332"/>
      <c r="D1888" s="148">
        <v>4.59</v>
      </c>
      <c r="E1888" s="148"/>
      <c r="F1888" s="148"/>
      <c r="G1888" s="148">
        <v>1</v>
      </c>
      <c r="H1888" s="148">
        <v>7</v>
      </c>
      <c r="I1888" s="148"/>
      <c r="J1888" s="170">
        <f>PRODUCT(D1888:H1888)-I1888</f>
        <v>32.129999999999995</v>
      </c>
      <c r="L1888" s="10"/>
      <c r="M1888" s="10"/>
      <c r="N1888" s="10"/>
      <c r="O1888" s="10"/>
      <c r="P1888" s="10"/>
      <c r="Q1888" s="10"/>
      <c r="R1888" s="10"/>
      <c r="S1888" s="10"/>
      <c r="T1888" s="10"/>
      <c r="U1888" s="10"/>
      <c r="V1888" s="10"/>
      <c r="W1888" s="10"/>
      <c r="X1888" s="10"/>
      <c r="Y1888" s="10"/>
    </row>
    <row r="1889" spans="1:25" ht="16.5" customHeight="1" x14ac:dyDescent="0.2">
      <c r="A1889" s="336" t="str">
        <f>"TOTAL - "&amp;'Planilha orçamentária'!F176</f>
        <v>TOTAL - M</v>
      </c>
      <c r="B1889" s="337"/>
      <c r="C1889" s="337"/>
      <c r="D1889" s="337"/>
      <c r="E1889" s="337"/>
      <c r="F1889" s="337"/>
      <c r="G1889" s="337"/>
      <c r="H1889" s="337"/>
      <c r="I1889" s="338"/>
      <c r="J1889" s="149">
        <f>SUM(J1887:J1888)</f>
        <v>266.07</v>
      </c>
      <c r="K1889" s="10"/>
      <c r="L1889" s="10"/>
      <c r="M1889" s="10"/>
      <c r="N1889" s="10"/>
      <c r="O1889" s="10"/>
      <c r="P1889" s="10"/>
      <c r="Q1889" s="10"/>
      <c r="R1889" s="10"/>
      <c r="S1889" s="10"/>
      <c r="T1889" s="10"/>
      <c r="U1889" s="10"/>
      <c r="V1889" s="10"/>
      <c r="W1889" s="10"/>
      <c r="X1889" s="10"/>
      <c r="Y1889" s="10"/>
    </row>
    <row r="1890" spans="1:25" ht="16.5" customHeight="1" x14ac:dyDescent="0.2">
      <c r="A1890" s="184" t="str">
        <f>'Planilha orçamentária'!A177</f>
        <v>20.2</v>
      </c>
      <c r="B1890" s="343" t="str">
        <f>'Planilha orçamentária'!D177</f>
        <v>Engradamento para telhado de fibrocimento ondulada</v>
      </c>
      <c r="C1890" s="344"/>
      <c r="D1890" s="344"/>
      <c r="E1890" s="344"/>
      <c r="F1890" s="344"/>
      <c r="G1890" s="344"/>
      <c r="H1890" s="344"/>
      <c r="I1890" s="344"/>
      <c r="J1890" s="344"/>
      <c r="K1890" s="10"/>
      <c r="L1890" s="10"/>
      <c r="M1890" s="10"/>
      <c r="N1890" s="10"/>
      <c r="O1890" s="10"/>
      <c r="P1890" s="10"/>
      <c r="Q1890" s="10"/>
      <c r="R1890" s="10"/>
      <c r="S1890" s="10"/>
      <c r="T1890" s="10"/>
      <c r="U1890" s="10"/>
      <c r="V1890" s="10"/>
      <c r="W1890" s="10"/>
      <c r="X1890" s="10"/>
      <c r="Y1890" s="10"/>
    </row>
    <row r="1891" spans="1:25" ht="16.5" customHeight="1" x14ac:dyDescent="0.2">
      <c r="A1891" s="327" t="s">
        <v>120</v>
      </c>
      <c r="B1891" s="328"/>
      <c r="C1891" s="328"/>
      <c r="D1891" s="182" t="s">
        <v>121</v>
      </c>
      <c r="E1891" s="182" t="s">
        <v>122</v>
      </c>
      <c r="F1891" s="181" t="s">
        <v>123</v>
      </c>
      <c r="G1891" s="181" t="s">
        <v>124</v>
      </c>
      <c r="H1891" s="181" t="s">
        <v>490</v>
      </c>
      <c r="I1891" s="182" t="s">
        <v>126</v>
      </c>
      <c r="J1891" s="182" t="s">
        <v>113</v>
      </c>
      <c r="K1891" s="10"/>
      <c r="L1891" s="10"/>
      <c r="M1891" s="10"/>
      <c r="N1891" s="10"/>
      <c r="O1891" s="10"/>
      <c r="P1891" s="10"/>
      <c r="Q1891" s="10"/>
      <c r="R1891" s="10"/>
      <c r="S1891" s="10"/>
      <c r="T1891" s="10"/>
      <c r="U1891" s="10"/>
      <c r="V1891" s="10"/>
      <c r="W1891" s="10"/>
      <c r="X1891" s="10"/>
      <c r="Y1891" s="10"/>
    </row>
    <row r="1892" spans="1:25" ht="16.5" customHeight="1" x14ac:dyDescent="0.2">
      <c r="A1892" s="318" t="s">
        <v>829</v>
      </c>
      <c r="B1892" s="319"/>
      <c r="C1892" s="332"/>
      <c r="D1892" s="148">
        <v>16.71</v>
      </c>
      <c r="E1892" s="148">
        <v>4.9000000000000004</v>
      </c>
      <c r="F1892" s="148"/>
      <c r="G1892" s="148"/>
      <c r="H1892" s="148">
        <v>7</v>
      </c>
      <c r="I1892" s="148"/>
      <c r="J1892" s="170">
        <f t="shared" ref="J1892:J1894" si="104">PRODUCT(D1892:H1892)-I1892</f>
        <v>573.15300000000002</v>
      </c>
      <c r="L1892" s="10"/>
      <c r="M1892" s="10"/>
      <c r="N1892" s="10"/>
      <c r="O1892" s="10"/>
      <c r="P1892" s="10"/>
      <c r="Q1892" s="10"/>
      <c r="R1892" s="10"/>
      <c r="S1892" s="10"/>
      <c r="T1892" s="10"/>
      <c r="U1892" s="10"/>
      <c r="V1892" s="10"/>
      <c r="W1892" s="10"/>
      <c r="X1892" s="10"/>
      <c r="Y1892" s="10"/>
    </row>
    <row r="1893" spans="1:25" ht="16.5" customHeight="1" x14ac:dyDescent="0.2">
      <c r="A1893" s="318" t="s">
        <v>830</v>
      </c>
      <c r="B1893" s="319"/>
      <c r="C1893" s="332"/>
      <c r="D1893" s="148">
        <v>16.71</v>
      </c>
      <c r="E1893" s="148">
        <v>4.9000000000000004</v>
      </c>
      <c r="F1893" s="148"/>
      <c r="G1893" s="148"/>
      <c r="H1893" s="148">
        <v>7</v>
      </c>
      <c r="I1893" s="148"/>
      <c r="J1893" s="170">
        <f t="shared" si="104"/>
        <v>573.15300000000002</v>
      </c>
      <c r="L1893" s="10"/>
      <c r="M1893" s="10"/>
      <c r="N1893" s="10"/>
      <c r="O1893" s="10"/>
      <c r="P1893" s="10"/>
      <c r="Q1893" s="10"/>
      <c r="R1893" s="10"/>
      <c r="S1893" s="10"/>
      <c r="T1893" s="10"/>
      <c r="U1893" s="10"/>
      <c r="V1893" s="10"/>
      <c r="W1893" s="10"/>
      <c r="X1893" s="10"/>
      <c r="Y1893" s="10"/>
    </row>
    <row r="1894" spans="1:25" ht="16.5" customHeight="1" x14ac:dyDescent="0.2">
      <c r="A1894" s="318" t="s">
        <v>831</v>
      </c>
      <c r="B1894" s="319"/>
      <c r="C1894" s="332"/>
      <c r="D1894" s="148">
        <v>4.59</v>
      </c>
      <c r="E1894" s="148">
        <v>4.2</v>
      </c>
      <c r="F1894" s="148"/>
      <c r="G1894" s="148"/>
      <c r="H1894" s="148">
        <v>7</v>
      </c>
      <c r="I1894" s="148"/>
      <c r="J1894" s="170">
        <f t="shared" si="104"/>
        <v>134.946</v>
      </c>
      <c r="L1894" s="10"/>
      <c r="M1894" s="10"/>
      <c r="N1894" s="10"/>
      <c r="O1894" s="10"/>
      <c r="P1894" s="10"/>
      <c r="Q1894" s="10"/>
      <c r="R1894" s="10"/>
      <c r="S1894" s="10"/>
      <c r="T1894" s="10"/>
      <c r="U1894" s="10"/>
      <c r="V1894" s="10"/>
      <c r="W1894" s="10"/>
      <c r="X1894" s="10"/>
      <c r="Y1894" s="10"/>
    </row>
    <row r="1895" spans="1:25" ht="16.5" customHeight="1" x14ac:dyDescent="0.2">
      <c r="A1895" s="336" t="str">
        <f>"TOTAL - "&amp;'Planilha orçamentária'!F177</f>
        <v>TOTAL - M2</v>
      </c>
      <c r="B1895" s="337"/>
      <c r="C1895" s="337"/>
      <c r="D1895" s="337"/>
      <c r="E1895" s="337"/>
      <c r="F1895" s="337"/>
      <c r="G1895" s="337"/>
      <c r="H1895" s="337"/>
      <c r="I1895" s="338"/>
      <c r="J1895" s="149">
        <f>SUM(J1892:J1894)</f>
        <v>1281.252</v>
      </c>
      <c r="K1895" s="10"/>
      <c r="L1895" s="10"/>
      <c r="M1895" s="10"/>
      <c r="N1895" s="10"/>
      <c r="O1895" s="10"/>
      <c r="P1895" s="10"/>
      <c r="Q1895" s="10"/>
      <c r="R1895" s="10"/>
      <c r="S1895" s="10"/>
      <c r="T1895" s="10"/>
      <c r="U1895" s="10"/>
      <c r="V1895" s="10"/>
      <c r="W1895" s="10"/>
      <c r="X1895" s="10"/>
      <c r="Y1895" s="10"/>
    </row>
    <row r="1896" spans="1:25" ht="16.5" customHeight="1" x14ac:dyDescent="0.2">
      <c r="A1896" s="184" t="str">
        <f>'Planilha orçamentária'!A178</f>
        <v>20.3</v>
      </c>
      <c r="B1896" s="343" t="str">
        <f>'Planilha orçamentária'!D178</f>
        <v>Cobertura em telha de fibrocimento estrutural, esp. 8mm, com recobrimento transversal e longitudinal, exclusive cumeeira, inclusive acessórios de fixação e içamento</v>
      </c>
      <c r="C1896" s="344"/>
      <c r="D1896" s="344"/>
      <c r="E1896" s="344"/>
      <c r="F1896" s="344"/>
      <c r="G1896" s="344"/>
      <c r="H1896" s="344"/>
      <c r="I1896" s="344"/>
      <c r="J1896" s="344"/>
      <c r="K1896" s="10"/>
      <c r="L1896" s="10"/>
      <c r="M1896" s="10"/>
      <c r="N1896" s="10"/>
      <c r="O1896" s="10"/>
      <c r="P1896" s="10"/>
      <c r="Q1896" s="10"/>
      <c r="R1896" s="10"/>
      <c r="S1896" s="10"/>
      <c r="T1896" s="10"/>
      <c r="U1896" s="10"/>
      <c r="V1896" s="10"/>
      <c r="W1896" s="10"/>
      <c r="X1896" s="10"/>
      <c r="Y1896" s="10"/>
    </row>
    <row r="1897" spans="1:25" ht="16.5" customHeight="1" x14ac:dyDescent="0.2">
      <c r="A1897" s="327" t="s">
        <v>120</v>
      </c>
      <c r="B1897" s="328"/>
      <c r="C1897" s="328"/>
      <c r="D1897" s="182" t="s">
        <v>121</v>
      </c>
      <c r="E1897" s="182" t="s">
        <v>122</v>
      </c>
      <c r="F1897" s="181" t="s">
        <v>123</v>
      </c>
      <c r="G1897" s="181" t="s">
        <v>124</v>
      </c>
      <c r="H1897" s="181" t="s">
        <v>490</v>
      </c>
      <c r="I1897" s="182" t="s">
        <v>126</v>
      </c>
      <c r="J1897" s="182" t="s">
        <v>113</v>
      </c>
      <c r="K1897" s="10"/>
      <c r="L1897" s="10"/>
      <c r="M1897" s="10"/>
      <c r="N1897" s="10"/>
      <c r="O1897" s="10"/>
      <c r="P1897" s="10"/>
      <c r="Q1897" s="10"/>
      <c r="R1897" s="10"/>
      <c r="S1897" s="10"/>
      <c r="T1897" s="10"/>
      <c r="U1897" s="10"/>
      <c r="V1897" s="10"/>
      <c r="W1897" s="10"/>
      <c r="X1897" s="10"/>
      <c r="Y1897" s="10"/>
    </row>
    <row r="1898" spans="1:25" ht="16.5" customHeight="1" x14ac:dyDescent="0.2">
      <c r="A1898" s="318" t="s">
        <v>829</v>
      </c>
      <c r="B1898" s="319"/>
      <c r="C1898" s="332"/>
      <c r="D1898" s="148">
        <v>16.71</v>
      </c>
      <c r="E1898" s="148">
        <v>4.9000000000000004</v>
      </c>
      <c r="F1898" s="148"/>
      <c r="G1898" s="148"/>
      <c r="H1898" s="148">
        <v>7</v>
      </c>
      <c r="I1898" s="148"/>
      <c r="J1898" s="170">
        <f t="shared" ref="J1898:J1900" si="105">PRODUCT(D1898:H1898)-I1898</f>
        <v>573.15300000000002</v>
      </c>
      <c r="L1898" s="10"/>
      <c r="M1898" s="10"/>
      <c r="N1898" s="10"/>
      <c r="O1898" s="10"/>
      <c r="P1898" s="10"/>
      <c r="Q1898" s="10"/>
      <c r="R1898" s="10"/>
      <c r="S1898" s="10"/>
      <c r="T1898" s="10"/>
      <c r="U1898" s="10"/>
      <c r="V1898" s="10"/>
      <c r="W1898" s="10"/>
      <c r="X1898" s="10"/>
      <c r="Y1898" s="10"/>
    </row>
    <row r="1899" spans="1:25" ht="16.5" customHeight="1" x14ac:dyDescent="0.2">
      <c r="A1899" s="318" t="s">
        <v>830</v>
      </c>
      <c r="B1899" s="319"/>
      <c r="C1899" s="332"/>
      <c r="D1899" s="148">
        <v>16.71</v>
      </c>
      <c r="E1899" s="148">
        <v>4.9000000000000004</v>
      </c>
      <c r="F1899" s="148"/>
      <c r="G1899" s="148"/>
      <c r="H1899" s="148">
        <v>7</v>
      </c>
      <c r="I1899" s="148"/>
      <c r="J1899" s="170">
        <f t="shared" si="105"/>
        <v>573.15300000000002</v>
      </c>
      <c r="L1899" s="10"/>
      <c r="M1899" s="10"/>
      <c r="N1899" s="10"/>
      <c r="O1899" s="10"/>
      <c r="P1899" s="10"/>
      <c r="Q1899" s="10"/>
      <c r="R1899" s="10"/>
      <c r="S1899" s="10"/>
      <c r="T1899" s="10"/>
      <c r="U1899" s="10"/>
      <c r="V1899" s="10"/>
      <c r="W1899" s="10"/>
      <c r="X1899" s="10"/>
      <c r="Y1899" s="10"/>
    </row>
    <row r="1900" spans="1:25" ht="16.5" customHeight="1" x14ac:dyDescent="0.2">
      <c r="A1900" s="318" t="s">
        <v>831</v>
      </c>
      <c r="B1900" s="319"/>
      <c r="C1900" s="332"/>
      <c r="D1900" s="148">
        <v>4.59</v>
      </c>
      <c r="E1900" s="148">
        <v>4.2</v>
      </c>
      <c r="F1900" s="148"/>
      <c r="G1900" s="148"/>
      <c r="H1900" s="148">
        <v>7</v>
      </c>
      <c r="I1900" s="148"/>
      <c r="J1900" s="170">
        <f t="shared" si="105"/>
        <v>134.946</v>
      </c>
      <c r="L1900" s="10"/>
      <c r="M1900" s="10"/>
      <c r="N1900" s="10"/>
      <c r="O1900" s="10"/>
      <c r="P1900" s="10"/>
      <c r="Q1900" s="10"/>
      <c r="R1900" s="10"/>
      <c r="S1900" s="10"/>
      <c r="T1900" s="10"/>
      <c r="U1900" s="10"/>
      <c r="V1900" s="10"/>
      <c r="W1900" s="10"/>
      <c r="X1900" s="10"/>
      <c r="Y1900" s="10"/>
    </row>
    <row r="1901" spans="1:25" ht="16.5" customHeight="1" x14ac:dyDescent="0.2">
      <c r="A1901" s="336" t="str">
        <f>"TOTAL - "&amp;'Planilha orçamentária'!F178</f>
        <v>TOTAL - M2</v>
      </c>
      <c r="B1901" s="337"/>
      <c r="C1901" s="337"/>
      <c r="D1901" s="337"/>
      <c r="E1901" s="337"/>
      <c r="F1901" s="337"/>
      <c r="G1901" s="337"/>
      <c r="H1901" s="337"/>
      <c r="I1901" s="338"/>
      <c r="J1901" s="149">
        <f>SUM(J1898:J1900)</f>
        <v>1281.252</v>
      </c>
      <c r="K1901" s="10"/>
      <c r="L1901" s="10"/>
      <c r="M1901" s="10"/>
      <c r="N1901" s="10"/>
      <c r="O1901" s="10"/>
      <c r="P1901" s="10"/>
      <c r="Q1901" s="10"/>
      <c r="R1901" s="10"/>
      <c r="S1901" s="10"/>
      <c r="T1901" s="10"/>
      <c r="U1901" s="10"/>
      <c r="V1901" s="10"/>
      <c r="W1901" s="10"/>
      <c r="X1901" s="10"/>
      <c r="Y1901" s="10"/>
    </row>
    <row r="1902" spans="1:25" ht="16.5" customHeight="1" x14ac:dyDescent="0.2">
      <c r="A1902" s="184" t="str">
        <f>'Planilha orçamentária'!A179</f>
        <v>20.4</v>
      </c>
      <c r="B1902" s="343" t="str">
        <f>'Planilha orçamentária'!D179</f>
        <v>Rufo e contrarrufo em chapa galvanizada, esp. 0,5mm ( gsg-26), com desenvolvimento de 20cm, inclusive içamento manual vertical</v>
      </c>
      <c r="C1902" s="344"/>
      <c r="D1902" s="344"/>
      <c r="E1902" s="344"/>
      <c r="F1902" s="344"/>
      <c r="G1902" s="344"/>
      <c r="H1902" s="344"/>
      <c r="I1902" s="344"/>
      <c r="J1902" s="344"/>
      <c r="K1902" s="10"/>
      <c r="L1902" s="10"/>
      <c r="M1902" s="10"/>
      <c r="N1902" s="10"/>
      <c r="O1902" s="10"/>
      <c r="P1902" s="10"/>
      <c r="Q1902" s="10"/>
      <c r="R1902" s="10"/>
      <c r="S1902" s="10"/>
      <c r="T1902" s="10"/>
      <c r="U1902" s="10"/>
      <c r="V1902" s="10"/>
      <c r="W1902" s="10"/>
      <c r="X1902" s="10"/>
      <c r="Y1902" s="10"/>
    </row>
    <row r="1903" spans="1:25" ht="16.5" customHeight="1" x14ac:dyDescent="0.2">
      <c r="A1903" s="327" t="s">
        <v>120</v>
      </c>
      <c r="B1903" s="328"/>
      <c r="C1903" s="328"/>
      <c r="D1903" s="182" t="s">
        <v>121</v>
      </c>
      <c r="E1903" s="182" t="s">
        <v>122</v>
      </c>
      <c r="F1903" s="181" t="s">
        <v>123</v>
      </c>
      <c r="G1903" s="181" t="s">
        <v>124</v>
      </c>
      <c r="H1903" s="181" t="s">
        <v>490</v>
      </c>
      <c r="I1903" s="182" t="s">
        <v>126</v>
      </c>
      <c r="J1903" s="182" t="s">
        <v>113</v>
      </c>
      <c r="K1903" s="10"/>
      <c r="L1903" s="10"/>
      <c r="M1903" s="10"/>
      <c r="N1903" s="10"/>
      <c r="O1903" s="10"/>
      <c r="P1903" s="10"/>
      <c r="Q1903" s="10"/>
      <c r="R1903" s="10"/>
      <c r="S1903" s="10"/>
      <c r="T1903" s="10"/>
      <c r="U1903" s="10"/>
      <c r="V1903" s="10"/>
      <c r="W1903" s="10"/>
      <c r="X1903" s="10"/>
      <c r="Y1903" s="10"/>
    </row>
    <row r="1904" spans="1:25" ht="16.5" customHeight="1" x14ac:dyDescent="0.2">
      <c r="A1904" s="318" t="s">
        <v>832</v>
      </c>
      <c r="B1904" s="319"/>
      <c r="C1904" s="332"/>
      <c r="D1904" s="148">
        <v>16.71</v>
      </c>
      <c r="E1904" s="148"/>
      <c r="F1904" s="148"/>
      <c r="G1904" s="148">
        <v>2</v>
      </c>
      <c r="H1904" s="148">
        <v>7</v>
      </c>
      <c r="I1904" s="148"/>
      <c r="J1904" s="170">
        <f t="shared" ref="J1904:J1905" si="106">PRODUCT(D1904:H1904)-I1904</f>
        <v>233.94</v>
      </c>
      <c r="L1904" s="10"/>
      <c r="M1904" s="10"/>
      <c r="N1904" s="10"/>
      <c r="O1904" s="10"/>
      <c r="P1904" s="10"/>
      <c r="Q1904" s="10"/>
      <c r="R1904" s="10"/>
      <c r="S1904" s="10"/>
      <c r="T1904" s="10"/>
      <c r="U1904" s="10"/>
      <c r="V1904" s="10"/>
      <c r="W1904" s="10"/>
      <c r="X1904" s="10"/>
      <c r="Y1904" s="10"/>
    </row>
    <row r="1905" spans="1:25" ht="16.5" customHeight="1" x14ac:dyDescent="0.2">
      <c r="A1905" s="318" t="s">
        <v>828</v>
      </c>
      <c r="B1905" s="319"/>
      <c r="C1905" s="332"/>
      <c r="D1905" s="148">
        <v>4.59</v>
      </c>
      <c r="E1905" s="148"/>
      <c r="F1905" s="148"/>
      <c r="G1905" s="148">
        <v>1</v>
      </c>
      <c r="H1905" s="148">
        <v>7</v>
      </c>
      <c r="I1905" s="148"/>
      <c r="J1905" s="170">
        <f t="shared" si="106"/>
        <v>32.129999999999995</v>
      </c>
      <c r="L1905" s="10"/>
      <c r="M1905" s="10"/>
      <c r="N1905" s="10"/>
      <c r="O1905" s="10"/>
      <c r="P1905" s="10"/>
      <c r="Q1905" s="10"/>
      <c r="R1905" s="10"/>
      <c r="S1905" s="10"/>
      <c r="T1905" s="10"/>
      <c r="U1905" s="10"/>
      <c r="V1905" s="10"/>
      <c r="W1905" s="10"/>
      <c r="X1905" s="10"/>
      <c r="Y1905" s="10"/>
    </row>
    <row r="1906" spans="1:25" ht="16.5" customHeight="1" x14ac:dyDescent="0.2">
      <c r="A1906" s="336" t="str">
        <f>"TOTAL - "&amp;'Planilha orçamentária'!F179</f>
        <v>TOTAL - M</v>
      </c>
      <c r="B1906" s="337"/>
      <c r="C1906" s="337"/>
      <c r="D1906" s="337"/>
      <c r="E1906" s="337"/>
      <c r="F1906" s="337"/>
      <c r="G1906" s="337"/>
      <c r="H1906" s="337"/>
      <c r="I1906" s="338"/>
      <c r="J1906" s="149">
        <f>SUM(J1904:J1905)</f>
        <v>266.07</v>
      </c>
      <c r="K1906" s="10"/>
      <c r="L1906" s="10"/>
      <c r="M1906" s="10"/>
      <c r="N1906" s="10"/>
      <c r="O1906" s="10"/>
      <c r="P1906" s="10"/>
      <c r="Q1906" s="10"/>
      <c r="R1906" s="10"/>
      <c r="S1906" s="10"/>
      <c r="T1906" s="10"/>
      <c r="U1906" s="10"/>
      <c r="V1906" s="10"/>
      <c r="W1906" s="10"/>
      <c r="X1906" s="10"/>
      <c r="Y1906" s="10"/>
    </row>
    <row r="1907" spans="1:25" ht="16.5" customHeight="1" x14ac:dyDescent="0.2">
      <c r="A1907" s="184" t="str">
        <f>'Planilha orçamentária'!A180</f>
        <v>20.5</v>
      </c>
      <c r="B1907" s="343" t="str">
        <f>'Planilha orçamentária'!D180</f>
        <v>Chapim em chapa galvanizada, com pingadeira, esp. 0, 65mm (gsg-24), com desenvolvimento de 35cm, inclusive içamento manual vertical</v>
      </c>
      <c r="C1907" s="344"/>
      <c r="D1907" s="344"/>
      <c r="E1907" s="344"/>
      <c r="F1907" s="344"/>
      <c r="G1907" s="344"/>
      <c r="H1907" s="344"/>
      <c r="I1907" s="344"/>
      <c r="J1907" s="344"/>
      <c r="K1907" s="10"/>
      <c r="L1907" s="10"/>
      <c r="M1907" s="10"/>
      <c r="N1907" s="10"/>
      <c r="O1907" s="10"/>
      <c r="P1907" s="10"/>
      <c r="Q1907" s="10"/>
      <c r="R1907" s="10"/>
      <c r="S1907" s="10"/>
      <c r="T1907" s="10"/>
      <c r="U1907" s="10"/>
      <c r="V1907" s="10"/>
      <c r="W1907" s="10"/>
      <c r="X1907" s="10"/>
      <c r="Y1907" s="10"/>
    </row>
    <row r="1908" spans="1:25" ht="16.5" customHeight="1" x14ac:dyDescent="0.2">
      <c r="A1908" s="327" t="s">
        <v>120</v>
      </c>
      <c r="B1908" s="328"/>
      <c r="C1908" s="328"/>
      <c r="D1908" s="182" t="s">
        <v>121</v>
      </c>
      <c r="E1908" s="182" t="s">
        <v>122</v>
      </c>
      <c r="F1908" s="181" t="s">
        <v>123</v>
      </c>
      <c r="G1908" s="181" t="s">
        <v>124</v>
      </c>
      <c r="H1908" s="181" t="s">
        <v>490</v>
      </c>
      <c r="I1908" s="182" t="s">
        <v>126</v>
      </c>
      <c r="J1908" s="182" t="s">
        <v>113</v>
      </c>
      <c r="K1908" s="10"/>
      <c r="L1908" s="10"/>
      <c r="M1908" s="10"/>
      <c r="N1908" s="10"/>
      <c r="O1908" s="10"/>
      <c r="P1908" s="10"/>
      <c r="Q1908" s="10"/>
      <c r="R1908" s="10"/>
      <c r="S1908" s="10"/>
      <c r="T1908" s="10"/>
      <c r="U1908" s="10"/>
      <c r="V1908" s="10"/>
      <c r="W1908" s="10"/>
      <c r="X1908" s="10"/>
      <c r="Y1908" s="10"/>
    </row>
    <row r="1909" spans="1:25" ht="16.5" customHeight="1" x14ac:dyDescent="0.2">
      <c r="A1909" s="318" t="s">
        <v>833</v>
      </c>
      <c r="B1909" s="319"/>
      <c r="C1909" s="332"/>
      <c r="D1909" s="148">
        <f>4.83+0.19+0.19*2+5.11+0.19+16.71+0.19*2+0.3+4.81+0.19*2+6.91</f>
        <v>40.190000000000012</v>
      </c>
      <c r="E1909" s="148"/>
      <c r="F1909" s="148"/>
      <c r="G1909" s="148">
        <v>2</v>
      </c>
      <c r="H1909" s="148">
        <v>7</v>
      </c>
      <c r="I1909" s="148"/>
      <c r="J1909" s="170">
        <f t="shared" ref="J1909" si="107">PRODUCT(D1909:H1909)-I1909</f>
        <v>562.6600000000002</v>
      </c>
      <c r="L1909" s="10"/>
      <c r="M1909" s="10"/>
      <c r="N1909" s="10"/>
      <c r="O1909" s="10"/>
      <c r="P1909" s="10"/>
      <c r="Q1909" s="10"/>
      <c r="R1909" s="10"/>
      <c r="S1909" s="10"/>
      <c r="T1909" s="10"/>
      <c r="U1909" s="10"/>
      <c r="V1909" s="10"/>
      <c r="W1909" s="10"/>
      <c r="X1909" s="10"/>
      <c r="Y1909" s="10"/>
    </row>
    <row r="1910" spans="1:25" ht="16.5" customHeight="1" x14ac:dyDescent="0.2">
      <c r="A1910" s="318" t="s">
        <v>834</v>
      </c>
      <c r="B1910" s="319"/>
      <c r="C1910" s="332"/>
      <c r="D1910" s="148">
        <f>4.4*2+0.19*4+4.59*2</f>
        <v>18.740000000000002</v>
      </c>
      <c r="E1910" s="148"/>
      <c r="F1910" s="148"/>
      <c r="G1910" s="148">
        <v>1</v>
      </c>
      <c r="H1910" s="148">
        <v>7</v>
      </c>
      <c r="I1910" s="148"/>
      <c r="J1910" s="170">
        <f>PRODUCT(D1910:H1910)-I1910</f>
        <v>131.18</v>
      </c>
      <c r="L1910" s="10"/>
      <c r="M1910" s="10"/>
      <c r="N1910" s="10"/>
      <c r="O1910" s="10"/>
      <c r="P1910" s="10"/>
      <c r="Q1910" s="10"/>
      <c r="R1910" s="10"/>
      <c r="S1910" s="10"/>
      <c r="T1910" s="10"/>
      <c r="U1910" s="10"/>
      <c r="V1910" s="10"/>
      <c r="W1910" s="10"/>
      <c r="X1910" s="10"/>
      <c r="Y1910" s="10"/>
    </row>
    <row r="1911" spans="1:25" ht="16.5" customHeight="1" x14ac:dyDescent="0.2">
      <c r="A1911" s="336" t="str">
        <f>"TOTAL - "&amp;'Planilha orçamentária'!F180</f>
        <v>TOTAL - M</v>
      </c>
      <c r="B1911" s="337"/>
      <c r="C1911" s="337"/>
      <c r="D1911" s="337"/>
      <c r="E1911" s="337"/>
      <c r="F1911" s="337"/>
      <c r="G1911" s="337"/>
      <c r="H1911" s="337"/>
      <c r="I1911" s="338"/>
      <c r="J1911" s="149">
        <f>SUM(J1909:J1910)</f>
        <v>693.84000000000015</v>
      </c>
      <c r="K1911" s="10"/>
      <c r="L1911" s="10"/>
      <c r="M1911" s="10"/>
      <c r="N1911" s="10"/>
      <c r="O1911" s="10"/>
      <c r="P1911" s="10"/>
      <c r="Q1911" s="10"/>
      <c r="R1911" s="10"/>
      <c r="S1911" s="10"/>
      <c r="T1911" s="10"/>
      <c r="U1911" s="10"/>
      <c r="V1911" s="10"/>
      <c r="W1911" s="10"/>
      <c r="X1911" s="10"/>
      <c r="Y1911" s="10"/>
    </row>
    <row r="1912" spans="1:25" ht="16.5" customHeight="1" x14ac:dyDescent="0.2">
      <c r="A1912" s="35">
        <v>21</v>
      </c>
      <c r="B1912" s="406" t="s">
        <v>188</v>
      </c>
      <c r="C1912" s="407"/>
      <c r="D1912" s="407"/>
      <c r="E1912" s="407"/>
      <c r="F1912" s="407"/>
      <c r="G1912" s="407"/>
      <c r="H1912" s="407"/>
      <c r="I1912" s="407"/>
      <c r="J1912" s="408"/>
    </row>
    <row r="1913" spans="1:25" ht="16.5" customHeight="1" x14ac:dyDescent="0.2">
      <c r="A1913" s="184" t="str">
        <f>'Planilha orçamentária'!A183</f>
        <v>21.1</v>
      </c>
      <c r="B1913" s="343" t="str">
        <f>'Planilha orçamentária'!D183</f>
        <v>Corrimão simples em tubo de aço inox d = 1 1/2" - fixado em alvenaria</v>
      </c>
      <c r="C1913" s="344"/>
      <c r="D1913" s="344"/>
      <c r="E1913" s="344"/>
      <c r="F1913" s="344"/>
      <c r="G1913" s="344"/>
      <c r="H1913" s="344"/>
      <c r="I1913" s="344"/>
      <c r="J1913" s="344"/>
      <c r="K1913" s="10"/>
      <c r="L1913" s="10"/>
      <c r="M1913" s="10"/>
      <c r="N1913" s="10"/>
      <c r="O1913" s="10"/>
      <c r="P1913" s="10"/>
      <c r="Q1913" s="10"/>
      <c r="R1913" s="10"/>
      <c r="S1913" s="10"/>
      <c r="T1913" s="10"/>
      <c r="U1913" s="10"/>
      <c r="V1913" s="10"/>
      <c r="W1913" s="10"/>
      <c r="X1913" s="10"/>
      <c r="Y1913" s="10"/>
    </row>
    <row r="1914" spans="1:25" ht="16.5" customHeight="1" x14ac:dyDescent="0.2">
      <c r="A1914" s="327" t="s">
        <v>120</v>
      </c>
      <c r="B1914" s="328"/>
      <c r="C1914" s="328"/>
      <c r="D1914" s="182" t="s">
        <v>121</v>
      </c>
      <c r="E1914" s="182" t="s">
        <v>122</v>
      </c>
      <c r="F1914" s="181" t="s">
        <v>123</v>
      </c>
      <c r="G1914" s="181" t="s">
        <v>124</v>
      </c>
      <c r="H1914" s="181" t="s">
        <v>128</v>
      </c>
      <c r="I1914" s="182" t="s">
        <v>125</v>
      </c>
      <c r="J1914" s="182" t="s">
        <v>113</v>
      </c>
      <c r="K1914" s="10"/>
      <c r="L1914" s="10"/>
      <c r="M1914" s="10"/>
      <c r="N1914" s="10"/>
      <c r="O1914" s="10"/>
      <c r="P1914" s="10"/>
      <c r="Q1914" s="10"/>
      <c r="R1914" s="10"/>
      <c r="S1914" s="10"/>
      <c r="T1914" s="10"/>
      <c r="U1914" s="10"/>
      <c r="V1914" s="10"/>
      <c r="W1914" s="10"/>
      <c r="X1914" s="10"/>
      <c r="Y1914" s="10"/>
    </row>
    <row r="1915" spans="1:25" ht="16.5" customHeight="1" x14ac:dyDescent="0.2">
      <c r="A1915" s="318" t="s">
        <v>835</v>
      </c>
      <c r="B1915" s="319"/>
      <c r="C1915" s="332"/>
      <c r="D1915" s="148">
        <f>4.44+2.3*2+2.15+1.22*2</f>
        <v>13.629999999999999</v>
      </c>
      <c r="E1915" s="148"/>
      <c r="F1915" s="148"/>
      <c r="G1915" s="148">
        <v>7</v>
      </c>
      <c r="H1915" s="148"/>
      <c r="I1915" s="148"/>
      <c r="J1915" s="170">
        <f t="shared" ref="J1915:J1917" si="108">PRODUCT(D1915:H1915)-I1915</f>
        <v>95.41</v>
      </c>
      <c r="L1915" s="10"/>
      <c r="M1915" s="10"/>
      <c r="N1915" s="10"/>
      <c r="O1915" s="10"/>
      <c r="P1915" s="10"/>
      <c r="Q1915" s="10"/>
      <c r="R1915" s="10"/>
      <c r="S1915" s="10"/>
      <c r="T1915" s="10"/>
      <c r="U1915" s="10"/>
      <c r="V1915" s="10"/>
      <c r="W1915" s="10"/>
      <c r="X1915" s="10"/>
      <c r="Y1915" s="10"/>
    </row>
    <row r="1916" spans="1:25" ht="16.5" customHeight="1" x14ac:dyDescent="0.2">
      <c r="A1916" s="318" t="s">
        <v>836</v>
      </c>
      <c r="B1916" s="319"/>
      <c r="C1916" s="332"/>
      <c r="D1916" s="148">
        <f>4.44+2.3*2+2.15+1.22*2</f>
        <v>13.629999999999999</v>
      </c>
      <c r="E1916" s="148"/>
      <c r="F1916" s="148"/>
      <c r="G1916" s="148">
        <v>7</v>
      </c>
      <c r="H1916" s="148"/>
      <c r="I1916" s="148"/>
      <c r="J1916" s="170">
        <f t="shared" si="108"/>
        <v>95.41</v>
      </c>
      <c r="L1916" s="10"/>
      <c r="M1916" s="10"/>
      <c r="N1916" s="10"/>
      <c r="O1916" s="10"/>
      <c r="P1916" s="10"/>
      <c r="Q1916" s="10"/>
      <c r="R1916" s="10"/>
      <c r="S1916" s="10"/>
      <c r="T1916" s="10"/>
      <c r="U1916" s="10"/>
      <c r="V1916" s="10"/>
      <c r="W1916" s="10"/>
      <c r="X1916" s="10"/>
      <c r="Y1916" s="10"/>
    </row>
    <row r="1917" spans="1:25" ht="16.5" customHeight="1" x14ac:dyDescent="0.2">
      <c r="A1917" s="318" t="s">
        <v>837</v>
      </c>
      <c r="B1917" s="319"/>
      <c r="C1917" s="332"/>
      <c r="D1917" s="148">
        <f>4.44+2.3*2+2.15+1.22*2</f>
        <v>13.629999999999999</v>
      </c>
      <c r="E1917" s="148"/>
      <c r="F1917" s="148"/>
      <c r="G1917" s="148">
        <v>7</v>
      </c>
      <c r="H1917" s="148"/>
      <c r="I1917" s="148"/>
      <c r="J1917" s="170">
        <f t="shared" si="108"/>
        <v>95.41</v>
      </c>
      <c r="L1917" s="10"/>
      <c r="M1917" s="10"/>
      <c r="N1917" s="10"/>
      <c r="O1917" s="10"/>
      <c r="P1917" s="10"/>
      <c r="Q1917" s="10"/>
      <c r="R1917" s="10"/>
      <c r="S1917" s="10"/>
      <c r="T1917" s="10"/>
      <c r="U1917" s="10"/>
      <c r="V1917" s="10"/>
      <c r="W1917" s="10"/>
      <c r="X1917" s="10"/>
      <c r="Y1917" s="10"/>
    </row>
    <row r="1918" spans="1:25" ht="16.5" customHeight="1" x14ac:dyDescent="0.2">
      <c r="A1918" s="336" t="str">
        <f>"TOTAL - "&amp;'Planilha orçamentária'!F183</f>
        <v>TOTAL - M</v>
      </c>
      <c r="B1918" s="337"/>
      <c r="C1918" s="337"/>
      <c r="D1918" s="337"/>
      <c r="E1918" s="337"/>
      <c r="F1918" s="337"/>
      <c r="G1918" s="337"/>
      <c r="H1918" s="337"/>
      <c r="I1918" s="338"/>
      <c r="J1918" s="149">
        <f>SUM(J1915:J1917)</f>
        <v>286.23</v>
      </c>
      <c r="K1918" s="10"/>
      <c r="L1918" s="10"/>
      <c r="M1918" s="10"/>
      <c r="N1918" s="10"/>
      <c r="O1918" s="10"/>
      <c r="P1918" s="10"/>
      <c r="Q1918" s="10"/>
      <c r="R1918" s="10"/>
      <c r="S1918" s="10"/>
      <c r="T1918" s="10"/>
      <c r="U1918" s="10"/>
      <c r="V1918" s="10"/>
      <c r="W1918" s="10"/>
      <c r="X1918" s="10"/>
      <c r="Y1918" s="10"/>
    </row>
    <row r="1919" spans="1:25" ht="16.5" customHeight="1" x14ac:dyDescent="0.2">
      <c r="A1919" s="184" t="str">
        <f>'Planilha orçamentária'!A184</f>
        <v>21.2</v>
      </c>
      <c r="B1919" s="343" t="str">
        <f>'Planilha orçamentária'!D184</f>
        <v>Passeios de concreto e = 8 cm, fck = 15 MPa padrão prefeitura</v>
      </c>
      <c r="C1919" s="344"/>
      <c r="D1919" s="344"/>
      <c r="E1919" s="344"/>
      <c r="F1919" s="344"/>
      <c r="G1919" s="344"/>
      <c r="H1919" s="344"/>
      <c r="I1919" s="344"/>
      <c r="J1919" s="344"/>
      <c r="K1919" s="10"/>
      <c r="L1919" s="10"/>
      <c r="M1919" s="10"/>
      <c r="N1919" s="10"/>
      <c r="O1919" s="10"/>
      <c r="P1919" s="10"/>
      <c r="Q1919" s="10"/>
      <c r="R1919" s="10"/>
      <c r="S1919" s="10"/>
      <c r="T1919" s="10"/>
      <c r="U1919" s="10"/>
      <c r="V1919" s="10"/>
      <c r="W1919" s="10"/>
      <c r="X1919" s="10"/>
      <c r="Y1919" s="10"/>
    </row>
    <row r="1920" spans="1:25" ht="16.5" customHeight="1" x14ac:dyDescent="0.2">
      <c r="A1920" s="327" t="s">
        <v>120</v>
      </c>
      <c r="B1920" s="328"/>
      <c r="C1920" s="328"/>
      <c r="D1920" s="182" t="s">
        <v>121</v>
      </c>
      <c r="E1920" s="182" t="s">
        <v>122</v>
      </c>
      <c r="F1920" s="181" t="s">
        <v>123</v>
      </c>
      <c r="G1920" s="181" t="s">
        <v>124</v>
      </c>
      <c r="H1920" s="181" t="s">
        <v>128</v>
      </c>
      <c r="I1920" s="182" t="s">
        <v>125</v>
      </c>
      <c r="J1920" s="182" t="s">
        <v>113</v>
      </c>
      <c r="K1920" s="10"/>
      <c r="L1920" s="10"/>
      <c r="M1920" s="10"/>
      <c r="N1920" s="10"/>
      <c r="O1920" s="10"/>
      <c r="P1920" s="10"/>
      <c r="Q1920" s="10"/>
      <c r="R1920" s="10"/>
      <c r="S1920" s="10"/>
      <c r="T1920" s="10"/>
      <c r="U1920" s="10"/>
      <c r="V1920" s="10"/>
      <c r="W1920" s="10"/>
      <c r="X1920" s="10"/>
      <c r="Y1920" s="10"/>
    </row>
    <row r="1921" spans="1:25" ht="16.5" customHeight="1" x14ac:dyDescent="0.2">
      <c r="A1921" s="318" t="s">
        <v>420</v>
      </c>
      <c r="B1921" s="319"/>
      <c r="C1921" s="332"/>
      <c r="D1921" s="148">
        <f>5.63+5.39+4.93+4.31+4.93+5.39+5.63</f>
        <v>36.21</v>
      </c>
      <c r="E1921" s="148">
        <v>0.6</v>
      </c>
      <c r="F1921" s="148"/>
      <c r="G1921" s="148">
        <v>7</v>
      </c>
      <c r="H1921" s="148"/>
      <c r="I1921" s="148"/>
      <c r="J1921" s="170">
        <f t="shared" ref="J1921:J1926" si="109">PRODUCT(D1921:H1921)-I1921</f>
        <v>152.08199999999999</v>
      </c>
      <c r="L1921" s="10"/>
      <c r="M1921" s="10"/>
      <c r="N1921" s="10"/>
      <c r="O1921" s="10"/>
      <c r="P1921" s="10"/>
      <c r="Q1921" s="10"/>
      <c r="R1921" s="10"/>
      <c r="S1921" s="10"/>
      <c r="T1921" s="10"/>
      <c r="U1921" s="10"/>
      <c r="V1921" s="10"/>
      <c r="W1921" s="10"/>
      <c r="X1921" s="10"/>
      <c r="Y1921" s="10"/>
    </row>
    <row r="1922" spans="1:25" ht="16.5" customHeight="1" x14ac:dyDescent="0.2">
      <c r="A1922" s="318" t="s">
        <v>421</v>
      </c>
      <c r="B1922" s="319"/>
      <c r="C1922" s="332"/>
      <c r="D1922" s="148">
        <f>5.63+5.39+6.97+4.32+6.97+5.39+5.63-2.45</f>
        <v>37.849999999999994</v>
      </c>
      <c r="E1922" s="148">
        <v>0.6</v>
      </c>
      <c r="F1922" s="148"/>
      <c r="G1922" s="148">
        <v>7</v>
      </c>
      <c r="H1922" s="148"/>
      <c r="I1922" s="148"/>
      <c r="J1922" s="170">
        <f t="shared" si="109"/>
        <v>158.96999999999997</v>
      </c>
      <c r="L1922" s="10"/>
      <c r="M1922" s="10"/>
      <c r="N1922" s="10"/>
      <c r="O1922" s="10"/>
      <c r="P1922" s="10"/>
      <c r="Q1922" s="10"/>
      <c r="R1922" s="10"/>
      <c r="S1922" s="10"/>
      <c r="T1922" s="10"/>
      <c r="U1922" s="10"/>
      <c r="V1922" s="10"/>
      <c r="W1922" s="10"/>
      <c r="X1922" s="10"/>
      <c r="Y1922" s="10"/>
    </row>
    <row r="1923" spans="1:25" ht="16.5" customHeight="1" x14ac:dyDescent="0.2">
      <c r="A1923" s="321" t="s">
        <v>422</v>
      </c>
      <c r="B1923" s="322"/>
      <c r="C1923" s="323"/>
      <c r="D1923" s="148">
        <v>6.82</v>
      </c>
      <c r="E1923" s="148">
        <v>1.6</v>
      </c>
      <c r="F1923" s="148"/>
      <c r="G1923" s="148">
        <v>7</v>
      </c>
      <c r="H1923" s="148"/>
      <c r="I1923" s="148"/>
      <c r="J1923" s="170">
        <f t="shared" si="109"/>
        <v>76.384</v>
      </c>
    </row>
    <row r="1924" spans="1:25" ht="16.5" customHeight="1" x14ac:dyDescent="0.2">
      <c r="A1924" s="324"/>
      <c r="B1924" s="325"/>
      <c r="C1924" s="326"/>
      <c r="D1924" s="148">
        <v>2.5</v>
      </c>
      <c r="E1924" s="148">
        <v>0.15</v>
      </c>
      <c r="F1924" s="148"/>
      <c r="G1924" s="148">
        <v>7</v>
      </c>
      <c r="H1924" s="148"/>
      <c r="I1924" s="148"/>
      <c r="J1924" s="170">
        <f t="shared" si="109"/>
        <v>2.625</v>
      </c>
    </row>
    <row r="1925" spans="1:25" ht="16.5" customHeight="1" x14ac:dyDescent="0.2">
      <c r="A1925" s="321" t="s">
        <v>423</v>
      </c>
      <c r="B1925" s="322"/>
      <c r="C1925" s="323"/>
      <c r="D1925" s="148">
        <v>2.4500000000000002</v>
      </c>
      <c r="E1925" s="148">
        <f>0.6+0.75</f>
        <v>1.35</v>
      </c>
      <c r="F1925" s="148"/>
      <c r="G1925" s="148">
        <v>7</v>
      </c>
      <c r="H1925" s="148"/>
      <c r="I1925" s="148"/>
      <c r="J1925" s="170">
        <f t="shared" si="109"/>
        <v>23.152500000000003</v>
      </c>
    </row>
    <row r="1926" spans="1:25" ht="16.5" customHeight="1" x14ac:dyDescent="0.2">
      <c r="A1926" s="324"/>
      <c r="B1926" s="325"/>
      <c r="C1926" s="326"/>
      <c r="D1926" s="148">
        <v>5.0999999999999996</v>
      </c>
      <c r="E1926" s="148">
        <v>1.5</v>
      </c>
      <c r="F1926" s="148"/>
      <c r="G1926" s="148">
        <v>7</v>
      </c>
      <c r="H1926" s="148"/>
      <c r="I1926" s="148"/>
      <c r="J1926" s="170">
        <f t="shared" si="109"/>
        <v>53.55</v>
      </c>
    </row>
    <row r="1927" spans="1:25" ht="16.5" customHeight="1" x14ac:dyDescent="0.2">
      <c r="A1927" s="336" t="str">
        <f>"TOTAL - "&amp;'Planilha orçamentária'!F184</f>
        <v>TOTAL - M2</v>
      </c>
      <c r="B1927" s="337"/>
      <c r="C1927" s="337"/>
      <c r="D1927" s="337"/>
      <c r="E1927" s="337"/>
      <c r="F1927" s="337"/>
      <c r="G1927" s="337"/>
      <c r="H1927" s="337"/>
      <c r="I1927" s="338"/>
      <c r="J1927" s="149">
        <f>SUM(J1921:J1926)</f>
        <v>466.76349999999996</v>
      </c>
      <c r="K1927" s="10"/>
      <c r="L1927" s="10"/>
      <c r="M1927" s="10"/>
      <c r="N1927" s="10"/>
      <c r="O1927" s="10"/>
      <c r="P1927" s="10"/>
      <c r="Q1927" s="10"/>
      <c r="R1927" s="10"/>
      <c r="S1927" s="10"/>
      <c r="T1927" s="10"/>
      <c r="U1927" s="10"/>
      <c r="V1927" s="10"/>
      <c r="W1927" s="10"/>
      <c r="X1927" s="10"/>
      <c r="Y1927" s="10"/>
    </row>
  </sheetData>
  <mergeCells count="1516">
    <mergeCell ref="A200:C201"/>
    <mergeCell ref="A202:C203"/>
    <mergeCell ref="A204:C205"/>
    <mergeCell ref="A206:C207"/>
    <mergeCell ref="A208:C209"/>
    <mergeCell ref="A210:C211"/>
    <mergeCell ref="A1385:C1386"/>
    <mergeCell ref="A1387:C1388"/>
    <mergeCell ref="A1389:C1390"/>
    <mergeCell ref="A1364:C1365"/>
    <mergeCell ref="A212:C213"/>
    <mergeCell ref="A214:C215"/>
    <mergeCell ref="A1706:C1706"/>
    <mergeCell ref="A1172:C1174"/>
    <mergeCell ref="A1481:C1481"/>
    <mergeCell ref="A1404:C1406"/>
    <mergeCell ref="A1407:C1409"/>
    <mergeCell ref="A1410:C1412"/>
    <mergeCell ref="A373:C373"/>
    <mergeCell ref="A1499:C1499"/>
    <mergeCell ref="A1500:C1500"/>
    <mergeCell ref="B1696:J1696"/>
    <mergeCell ref="B1700:J1700"/>
    <mergeCell ref="B1671:J1671"/>
    <mergeCell ref="B1672:J1672"/>
    <mergeCell ref="A1675:I1675"/>
    <mergeCell ref="A216:C217"/>
    <mergeCell ref="A218:C219"/>
    <mergeCell ref="A250:C251"/>
    <mergeCell ref="A1425:C1427"/>
    <mergeCell ref="A1428:C1430"/>
    <mergeCell ref="A1431:C1433"/>
    <mergeCell ref="A1434:C1436"/>
    <mergeCell ref="A1366:C1367"/>
    <mergeCell ref="A1368:C1368"/>
    <mergeCell ref="A979:C979"/>
    <mergeCell ref="A223:J223"/>
    <mergeCell ref="A220:I220"/>
    <mergeCell ref="A17:C17"/>
    <mergeCell ref="A500:B501"/>
    <mergeCell ref="A502:I502"/>
    <mergeCell ref="A480:B481"/>
    <mergeCell ref="A482:B483"/>
    <mergeCell ref="A484:B485"/>
    <mergeCell ref="A526:C527"/>
    <mergeCell ref="A528:C529"/>
    <mergeCell ref="A530:C531"/>
    <mergeCell ref="A411:C411"/>
    <mergeCell ref="A403:C403"/>
    <mergeCell ref="A404:C404"/>
    <mergeCell ref="A405:C405"/>
    <mergeCell ref="A407:C407"/>
    <mergeCell ref="A408:C408"/>
    <mergeCell ref="A409:C409"/>
    <mergeCell ref="A1183:B1186"/>
    <mergeCell ref="A180:C180"/>
    <mergeCell ref="A174:C174"/>
    <mergeCell ref="A1035:C1035"/>
    <mergeCell ref="A1081:C1082"/>
    <mergeCell ref="B1122:J1122"/>
    <mergeCell ref="A1056:C1056"/>
    <mergeCell ref="A1057:C1057"/>
    <mergeCell ref="A1115:C1115"/>
    <mergeCell ref="A272:C272"/>
    <mergeCell ref="A145:C146"/>
    <mergeCell ref="A147:C147"/>
    <mergeCell ref="A148:C149"/>
    <mergeCell ref="A150:C151"/>
    <mergeCell ref="A152:C153"/>
    <mergeCell ref="A154:C155"/>
    <mergeCell ref="B1759:J1759"/>
    <mergeCell ref="A1762:I1762"/>
    <mergeCell ref="B1768:J1768"/>
    <mergeCell ref="A1761:C1761"/>
    <mergeCell ref="A1765:C1765"/>
    <mergeCell ref="A1705:C1705"/>
    <mergeCell ref="A1781:I1781"/>
    <mergeCell ref="A1785:I1785"/>
    <mergeCell ref="B1743:J1743"/>
    <mergeCell ref="A1809:C1809"/>
    <mergeCell ref="B1676:J1676"/>
    <mergeCell ref="A1679:I1679"/>
    <mergeCell ref="B1680:J1680"/>
    <mergeCell ref="A1123:C1123"/>
    <mergeCell ref="A1124:C1126"/>
    <mergeCell ref="A1391:C1392"/>
    <mergeCell ref="A1393:C1394"/>
    <mergeCell ref="A1191:B1194"/>
    <mergeCell ref="A1237:B1240"/>
    <mergeCell ref="A1241:B1244"/>
    <mergeCell ref="A1245:B1248"/>
    <mergeCell ref="A1416:C1418"/>
    <mergeCell ref="A1419:C1421"/>
    <mergeCell ref="A1422:C1424"/>
    <mergeCell ref="A1446:C1448"/>
    <mergeCell ref="A1443:C1445"/>
    <mergeCell ref="A1379:C1380"/>
    <mergeCell ref="A1381:C1382"/>
    <mergeCell ref="A1413:C1415"/>
    <mergeCell ref="A1449:I1449"/>
    <mergeCell ref="A1357:C1357"/>
    <mergeCell ref="A1358:C1358"/>
    <mergeCell ref="B1843:J1843"/>
    <mergeCell ref="A1846:I1846"/>
    <mergeCell ref="A1699:I1699"/>
    <mergeCell ref="A1708:I1708"/>
    <mergeCell ref="A1713:I1713"/>
    <mergeCell ref="A1718:I1718"/>
    <mergeCell ref="A1722:I1722"/>
    <mergeCell ref="A1737:C1737"/>
    <mergeCell ref="A1746:I1746"/>
    <mergeCell ref="A1741:C1741"/>
    <mergeCell ref="A1770:C1770"/>
    <mergeCell ref="A1745:C1745"/>
    <mergeCell ref="A1749:C1749"/>
    <mergeCell ref="A1474:C1474"/>
    <mergeCell ref="A1475:C1475"/>
    <mergeCell ref="A1476:C1476"/>
    <mergeCell ref="A1477:C1477"/>
    <mergeCell ref="A1478:C1478"/>
    <mergeCell ref="A1479:C1479"/>
    <mergeCell ref="A1733:C1733"/>
    <mergeCell ref="B1799:J1799"/>
    <mergeCell ref="A1754:I1754"/>
    <mergeCell ref="A1753:C1753"/>
    <mergeCell ref="A1742:I1742"/>
    <mergeCell ref="A1730:I1730"/>
    <mergeCell ref="A1789:I1789"/>
    <mergeCell ref="B1795:J1795"/>
    <mergeCell ref="A1792:C1792"/>
    <mergeCell ref="A1788:C1788"/>
    <mergeCell ref="A1775:C1775"/>
    <mergeCell ref="A1780:C1780"/>
    <mergeCell ref="A1784:C1784"/>
    <mergeCell ref="A585:B586"/>
    <mergeCell ref="A589:B590"/>
    <mergeCell ref="A591:B592"/>
    <mergeCell ref="A587:B588"/>
    <mergeCell ref="A577:B578"/>
    <mergeCell ref="A532:C533"/>
    <mergeCell ref="A534:C535"/>
    <mergeCell ref="A542:C543"/>
    <mergeCell ref="B1396:J1396"/>
    <mergeCell ref="A1397:C1397"/>
    <mergeCell ref="A1398:C1400"/>
    <mergeCell ref="A1401:C1403"/>
    <mergeCell ref="A1343:C1343"/>
    <mergeCell ref="A1691:C1691"/>
    <mergeCell ref="A1697:C1697"/>
    <mergeCell ref="A1701:C1701"/>
    <mergeCell ref="A1710:C1710"/>
    <mergeCell ref="A1703:C1703"/>
    <mergeCell ref="A1704:C1704"/>
    <mergeCell ref="A1361:I1361"/>
    <mergeCell ref="A1332:C1332"/>
    <mergeCell ref="A572:C573"/>
    <mergeCell ref="A1223:B1226"/>
    <mergeCell ref="A1227:B1230"/>
    <mergeCell ref="A1187:B1190"/>
    <mergeCell ref="A1201:B1204"/>
    <mergeCell ref="A1205:B1208"/>
    <mergeCell ref="A1209:B1212"/>
    <mergeCell ref="A1213:B1214"/>
    <mergeCell ref="A1215:B1218"/>
    <mergeCell ref="B1258:J1258"/>
    <mergeCell ref="A1260:B1263"/>
    <mergeCell ref="A1654:C1654"/>
    <mergeCell ref="A1659:C1659"/>
    <mergeCell ref="A1660:I1660"/>
    <mergeCell ref="B1661:J1661"/>
    <mergeCell ref="A1668:C1668"/>
    <mergeCell ref="A1669:C1669"/>
    <mergeCell ref="A1702:C1702"/>
    <mergeCell ref="A1681:C1681"/>
    <mergeCell ref="A1707:C1707"/>
    <mergeCell ref="A1648:C1648"/>
    <mergeCell ref="A1649:C1649"/>
    <mergeCell ref="A1738:I1738"/>
    <mergeCell ref="A1721:C1721"/>
    <mergeCell ref="A1729:C1729"/>
    <mergeCell ref="A1687:C1687"/>
    <mergeCell ref="A1688:C1688"/>
    <mergeCell ref="B1755:J1755"/>
    <mergeCell ref="A1715:C1715"/>
    <mergeCell ref="A1720:C1720"/>
    <mergeCell ref="A1728:C1728"/>
    <mergeCell ref="B1747:J1747"/>
    <mergeCell ref="A1836:C1836"/>
    <mergeCell ref="A1840:C1840"/>
    <mergeCell ref="A1817:C1817"/>
    <mergeCell ref="A1822:I1822"/>
    <mergeCell ref="B1823:J1823"/>
    <mergeCell ref="A1826:I1826"/>
    <mergeCell ref="A1841:C1841"/>
    <mergeCell ref="B1786:J1786"/>
    <mergeCell ref="A1805:C1805"/>
    <mergeCell ref="B1827:J1827"/>
    <mergeCell ref="A1813:C1813"/>
    <mergeCell ref="B1735:J1735"/>
    <mergeCell ref="A1646:C1646"/>
    <mergeCell ref="A1655:C1655"/>
    <mergeCell ref="A1652:C1652"/>
    <mergeCell ref="A1653:C1653"/>
    <mergeCell ref="A1726:I1726"/>
    <mergeCell ref="A1693:C1693"/>
    <mergeCell ref="A1694:C1694"/>
    <mergeCell ref="A1674:C1674"/>
    <mergeCell ref="A1678:C1678"/>
    <mergeCell ref="A1682:C1682"/>
    <mergeCell ref="A1686:C1686"/>
    <mergeCell ref="A1692:C1692"/>
    <mergeCell ref="A1698:C1698"/>
    <mergeCell ref="B1690:J1690"/>
    <mergeCell ref="A1695:I1695"/>
    <mergeCell ref="A1670:I1670"/>
    <mergeCell ref="A1673:C1673"/>
    <mergeCell ref="A1677:C1677"/>
    <mergeCell ref="A1650:C1650"/>
    <mergeCell ref="A1651:C1651"/>
    <mergeCell ref="A1095:C1096"/>
    <mergeCell ref="A1842:I1842"/>
    <mergeCell ref="A1771:I1771"/>
    <mergeCell ref="B1772:J1772"/>
    <mergeCell ref="B1773:J1773"/>
    <mergeCell ref="A1776:I1776"/>
    <mergeCell ref="B1777:J1777"/>
    <mergeCell ref="A1793:I1793"/>
    <mergeCell ref="A1802:I1802"/>
    <mergeCell ref="B1803:J1803"/>
    <mergeCell ref="A1806:I1806"/>
    <mergeCell ref="A1821:C1821"/>
    <mergeCell ref="A1825:C1825"/>
    <mergeCell ref="A1829:C1829"/>
    <mergeCell ref="A1833:C1833"/>
    <mergeCell ref="A1810:I1810"/>
    <mergeCell ref="B1811:J1811"/>
    <mergeCell ref="B1819:J1819"/>
    <mergeCell ref="A1837:C1837"/>
    <mergeCell ref="A1804:C1804"/>
    <mergeCell ref="A1808:C1808"/>
    <mergeCell ref="A1812:C1812"/>
    <mergeCell ref="A1816:C1816"/>
    <mergeCell ref="A1814:I1814"/>
    <mergeCell ref="B1815:J1815"/>
    <mergeCell ref="A1818:I1818"/>
    <mergeCell ref="B1778:J1778"/>
    <mergeCell ref="B1807:J1807"/>
    <mergeCell ref="A1820:C1820"/>
    <mergeCell ref="A1824:C1824"/>
    <mergeCell ref="A1828:C1828"/>
    <mergeCell ref="A1832:C1832"/>
    <mergeCell ref="B1790:J1790"/>
    <mergeCell ref="B1782:J1782"/>
    <mergeCell ref="B1709:J1709"/>
    <mergeCell ref="A1732:C1732"/>
    <mergeCell ref="A1797:C1797"/>
    <mergeCell ref="A1801:C1801"/>
    <mergeCell ref="A1353:C1353"/>
    <mergeCell ref="A1363:C1363"/>
    <mergeCell ref="A1395:I1395"/>
    <mergeCell ref="A1514:C1514"/>
    <mergeCell ref="A1355:C1355"/>
    <mergeCell ref="B1767:J1767"/>
    <mergeCell ref="A1369:C1370"/>
    <mergeCell ref="A1371:C1372"/>
    <mergeCell ref="A1373:C1374"/>
    <mergeCell ref="A1375:C1376"/>
    <mergeCell ref="A1377:C1378"/>
    <mergeCell ref="A1356:C1356"/>
    <mergeCell ref="A1359:C1359"/>
    <mergeCell ref="B1719:J1719"/>
    <mergeCell ref="A1683:I1683"/>
    <mergeCell ref="B1684:J1684"/>
    <mergeCell ref="B1763:J1763"/>
    <mergeCell ref="A1766:I1766"/>
    <mergeCell ref="B1751:J1751"/>
    <mergeCell ref="A1437:C1439"/>
    <mergeCell ref="A1440:C1442"/>
    <mergeCell ref="A1383:C1384"/>
    <mergeCell ref="A1360:C1360"/>
    <mergeCell ref="A1798:I1798"/>
    <mergeCell ref="A1354:C1354"/>
    <mergeCell ref="A1487:C1487"/>
    <mergeCell ref="A397:C397"/>
    <mergeCell ref="A454:B456"/>
    <mergeCell ref="A516:C517"/>
    <mergeCell ref="A518:C519"/>
    <mergeCell ref="A520:C521"/>
    <mergeCell ref="B575:J575"/>
    <mergeCell ref="A315:C315"/>
    <mergeCell ref="A316:C316"/>
    <mergeCell ref="A317:C317"/>
    <mergeCell ref="A908:C908"/>
    <mergeCell ref="A909:C909"/>
    <mergeCell ref="A992:C992"/>
    <mergeCell ref="A995:I995"/>
    <mergeCell ref="A994:C994"/>
    <mergeCell ref="B996:J996"/>
    <mergeCell ref="A997:C997"/>
    <mergeCell ref="A998:C998"/>
    <mergeCell ref="A973:C973"/>
    <mergeCell ref="B991:J991"/>
    <mergeCell ref="A985:C985"/>
    <mergeCell ref="A978:C978"/>
    <mergeCell ref="A976:C976"/>
    <mergeCell ref="A977:C977"/>
    <mergeCell ref="A981:C981"/>
    <mergeCell ref="A974:C974"/>
    <mergeCell ref="A914:C914"/>
    <mergeCell ref="A917:C917"/>
    <mergeCell ref="A560:C561"/>
    <mergeCell ref="A492:B493"/>
    <mergeCell ref="A494:B495"/>
    <mergeCell ref="A496:B497"/>
    <mergeCell ref="A498:B499"/>
    <mergeCell ref="A307:C307"/>
    <mergeCell ref="A308:C308"/>
    <mergeCell ref="B296:J296"/>
    <mergeCell ref="B297:J297"/>
    <mergeCell ref="A298:C298"/>
    <mergeCell ref="A310:I310"/>
    <mergeCell ref="A228:C229"/>
    <mergeCell ref="A232:C233"/>
    <mergeCell ref="A234:C235"/>
    <mergeCell ref="A240:C241"/>
    <mergeCell ref="A244:C245"/>
    <mergeCell ref="A246:C247"/>
    <mergeCell ref="A248:C249"/>
    <mergeCell ref="A313:C313"/>
    <mergeCell ref="A294:C294"/>
    <mergeCell ref="A259:C259"/>
    <mergeCell ref="A260:C260"/>
    <mergeCell ref="A261:C261"/>
    <mergeCell ref="A262:C262"/>
    <mergeCell ref="A289:C289"/>
    <mergeCell ref="A279:C279"/>
    <mergeCell ref="B94:J94"/>
    <mergeCell ref="A74:C74"/>
    <mergeCell ref="A82:C82"/>
    <mergeCell ref="A56:C56"/>
    <mergeCell ref="A57:C57"/>
    <mergeCell ref="A91:C91"/>
    <mergeCell ref="B78:J78"/>
    <mergeCell ref="A79:C79"/>
    <mergeCell ref="A90:C90"/>
    <mergeCell ref="A53:C53"/>
    <mergeCell ref="A54:C54"/>
    <mergeCell ref="A55:C55"/>
    <mergeCell ref="A102:C102"/>
    <mergeCell ref="A115:C115"/>
    <mergeCell ref="A116:C116"/>
    <mergeCell ref="A117:C117"/>
    <mergeCell ref="A142:J142"/>
    <mergeCell ref="B140:J140"/>
    <mergeCell ref="A141:C141"/>
    <mergeCell ref="A87:C87"/>
    <mergeCell ref="A89:C89"/>
    <mergeCell ref="A95:C95"/>
    <mergeCell ref="A119:C119"/>
    <mergeCell ref="A126:C126"/>
    <mergeCell ref="A129:C129"/>
    <mergeCell ref="B113:J113"/>
    <mergeCell ref="A110:C110"/>
    <mergeCell ref="A120:C120"/>
    <mergeCell ref="A121:C121"/>
    <mergeCell ref="A122:C122"/>
    <mergeCell ref="A127:C127"/>
    <mergeCell ref="A100:C100"/>
    <mergeCell ref="A318:C318"/>
    <mergeCell ref="A775:C775"/>
    <mergeCell ref="A792:C793"/>
    <mergeCell ref="A794:C795"/>
    <mergeCell ref="A767:C767"/>
    <mergeCell ref="A768:C768"/>
    <mergeCell ref="A769:C769"/>
    <mergeCell ref="A770:C770"/>
    <mergeCell ref="A771:C771"/>
    <mergeCell ref="A776:C776"/>
    <mergeCell ref="B778:J778"/>
    <mergeCell ref="A779:C779"/>
    <mergeCell ref="A780:C781"/>
    <mergeCell ref="A751:C751"/>
    <mergeCell ref="B759:J759"/>
    <mergeCell ref="A410:C410"/>
    <mergeCell ref="A507:C508"/>
    <mergeCell ref="A504:C504"/>
    <mergeCell ref="A372:C372"/>
    <mergeCell ref="A552:C553"/>
    <mergeCell ref="A554:C555"/>
    <mergeCell ref="A556:C557"/>
    <mergeCell ref="A558:C559"/>
    <mergeCell ref="A574:I574"/>
    <mergeCell ref="A548:C549"/>
    <mergeCell ref="A544:C545"/>
    <mergeCell ref="A490:B491"/>
    <mergeCell ref="A764:C764"/>
    <mergeCell ref="A765:C765"/>
    <mergeCell ref="A760:C760"/>
    <mergeCell ref="A762:C762"/>
    <mergeCell ref="A437:B439"/>
    <mergeCell ref="A292:C292"/>
    <mergeCell ref="A252:C253"/>
    <mergeCell ref="A254:C255"/>
    <mergeCell ref="A256:I256"/>
    <mergeCell ref="A263:C263"/>
    <mergeCell ref="A270:C270"/>
    <mergeCell ref="A271:C271"/>
    <mergeCell ref="A288:C288"/>
    <mergeCell ref="A283:C283"/>
    <mergeCell ref="A993:C993"/>
    <mergeCell ref="B987:J987"/>
    <mergeCell ref="A988:C988"/>
    <mergeCell ref="A989:C989"/>
    <mergeCell ref="A990:I990"/>
    <mergeCell ref="A885:C885"/>
    <mergeCell ref="A886:C886"/>
    <mergeCell ref="A920:C920"/>
    <mergeCell ref="A301:C301"/>
    <mergeCell ref="A302:C302"/>
    <mergeCell ref="A303:C303"/>
    <mergeCell ref="A304:C304"/>
    <mergeCell ref="A324:C324"/>
    <mergeCell ref="A752:C752"/>
    <mergeCell ref="A753:C753"/>
    <mergeCell ref="A754:C754"/>
    <mergeCell ref="A755:C755"/>
    <mergeCell ref="A756:C756"/>
    <mergeCell ref="A593:B594"/>
    <mergeCell ref="A258:C258"/>
    <mergeCell ref="A295:I295"/>
    <mergeCell ref="A299:C299"/>
    <mergeCell ref="A837:C837"/>
    <mergeCell ref="A850:C850"/>
    <mergeCell ref="A952:C952"/>
    <mergeCell ref="A949:I949"/>
    <mergeCell ref="A906:C906"/>
    <mergeCell ref="A948:C948"/>
    <mergeCell ref="A1157:C1159"/>
    <mergeCell ref="A1055:C1055"/>
    <mergeCell ref="A1160:C1162"/>
    <mergeCell ref="A1163:C1165"/>
    <mergeCell ref="A1166:C1168"/>
    <mergeCell ref="A1169:C1171"/>
    <mergeCell ref="A1097:C1098"/>
    <mergeCell ref="A1333:C1333"/>
    <mergeCell ref="A1334:C1334"/>
    <mergeCell ref="A1121:I1121"/>
    <mergeCell ref="A1335:C1335"/>
    <mergeCell ref="A1336:C1336"/>
    <mergeCell ref="B1177:J1177"/>
    <mergeCell ref="A1178:C1178"/>
    <mergeCell ref="A1015:C1015"/>
    <mergeCell ref="A1054:C1054"/>
    <mergeCell ref="A1073:C1074"/>
    <mergeCell ref="A1087:C1088"/>
    <mergeCell ref="A1091:C1092"/>
    <mergeCell ref="A1062:C1062"/>
    <mergeCell ref="A1041:C1041"/>
    <mergeCell ref="A1014:C1014"/>
    <mergeCell ref="A1030:C1030"/>
    <mergeCell ref="A1008:C1008"/>
    <mergeCell ref="B1023:J1023"/>
    <mergeCell ref="B1004:J1004"/>
    <mergeCell ref="A1027:C1027"/>
    <mergeCell ref="A1863:I1863"/>
    <mergeCell ref="A1850:I1850"/>
    <mergeCell ref="B1856:J1856"/>
    <mergeCell ref="A51:C51"/>
    <mergeCell ref="A52:C52"/>
    <mergeCell ref="B60:J60"/>
    <mergeCell ref="B61:J61"/>
    <mergeCell ref="A62:C62"/>
    <mergeCell ref="A65:I65"/>
    <mergeCell ref="B66:J66"/>
    <mergeCell ref="A63:C63"/>
    <mergeCell ref="A64:C64"/>
    <mergeCell ref="B71:J71"/>
    <mergeCell ref="A72:C72"/>
    <mergeCell ref="A73:C73"/>
    <mergeCell ref="A77:I77"/>
    <mergeCell ref="A88:C88"/>
    <mergeCell ref="A960:C960"/>
    <mergeCell ref="A924:C924"/>
    <mergeCell ref="A916:C916"/>
    <mergeCell ref="A1734:I1734"/>
    <mergeCell ref="B1714:J1714"/>
    <mergeCell ref="B1727:J1727"/>
    <mergeCell ref="A59:I59"/>
    <mergeCell ref="A75:C75"/>
    <mergeCell ref="A76:C76"/>
    <mergeCell ref="A1016:C1016"/>
    <mergeCell ref="A975:C975"/>
    <mergeCell ref="A984:C984"/>
    <mergeCell ref="A300:C300"/>
    <mergeCell ref="A1011:C1011"/>
    <mergeCell ref="A550:C551"/>
    <mergeCell ref="A1922:C1922"/>
    <mergeCell ref="A1921:C1921"/>
    <mergeCell ref="B1919:J1919"/>
    <mergeCell ref="B1868:J1868"/>
    <mergeCell ref="A1875:I1875"/>
    <mergeCell ref="B1884:J1884"/>
    <mergeCell ref="B1847:J1847"/>
    <mergeCell ref="B1880:J1880"/>
    <mergeCell ref="A1874:C1874"/>
    <mergeCell ref="A1878:C1878"/>
    <mergeCell ref="A1882:C1882"/>
    <mergeCell ref="A1870:C1870"/>
    <mergeCell ref="A1866:C1866"/>
    <mergeCell ref="A1873:C1873"/>
    <mergeCell ref="A1881:C1881"/>
    <mergeCell ref="A1871:I1871"/>
    <mergeCell ref="A1859:I1859"/>
    <mergeCell ref="A1865:C1865"/>
    <mergeCell ref="A1869:C1869"/>
    <mergeCell ref="B1913:J1913"/>
    <mergeCell ref="A1915:C1915"/>
    <mergeCell ref="A1877:C1877"/>
    <mergeCell ref="A1916:C1916"/>
    <mergeCell ref="A1901:I1901"/>
    <mergeCell ref="A1858:C1858"/>
    <mergeCell ref="B1851:J1851"/>
    <mergeCell ref="A1854:I1854"/>
    <mergeCell ref="B1860:J1860"/>
    <mergeCell ref="A1886:C1886"/>
    <mergeCell ref="A1887:C1887"/>
    <mergeCell ref="A1900:C1900"/>
    <mergeCell ref="A1888:C1888"/>
    <mergeCell ref="A1867:I1867"/>
    <mergeCell ref="A1903:C1903"/>
    <mergeCell ref="A746:C746"/>
    <mergeCell ref="A1130:C1132"/>
    <mergeCell ref="A1019:C1019"/>
    <mergeCell ref="A1879:I1879"/>
    <mergeCell ref="B1731:J1731"/>
    <mergeCell ref="B1100:J1100"/>
    <mergeCell ref="A1113:C1113"/>
    <mergeCell ref="A1114:C1114"/>
    <mergeCell ref="A1101:C1101"/>
    <mergeCell ref="A1249:B1250"/>
    <mergeCell ref="A1038:C1038"/>
    <mergeCell ref="B1043:J1043"/>
    <mergeCell ref="A1044:C1044"/>
    <mergeCell ref="A1045:C1045"/>
    <mergeCell ref="A1046:C1046"/>
    <mergeCell ref="A1052:C1052"/>
    <mergeCell ref="B1864:J1864"/>
    <mergeCell ref="B1362:J1362"/>
    <mergeCell ref="A875:C875"/>
    <mergeCell ref="A878:C878"/>
    <mergeCell ref="A1025:C1025"/>
    <mergeCell ref="A1036:C1036"/>
    <mergeCell ref="A1032:C1032"/>
    <mergeCell ref="A1107:C1107"/>
    <mergeCell ref="A1106:C1106"/>
    <mergeCell ref="A1105:C1105"/>
    <mergeCell ref="A1112:C1112"/>
    <mergeCell ref="A971:C971"/>
    <mergeCell ref="A956:C956"/>
    <mergeCell ref="A844:C844"/>
    <mergeCell ref="F14:G14"/>
    <mergeCell ref="A366:I366"/>
    <mergeCell ref="B323:J323"/>
    <mergeCell ref="A564:C565"/>
    <mergeCell ref="D14:E14"/>
    <mergeCell ref="A48:I48"/>
    <mergeCell ref="B49:J49"/>
    <mergeCell ref="B50:J50"/>
    <mergeCell ref="B20:J20"/>
    <mergeCell ref="A31:C31"/>
    <mergeCell ref="A21:C21"/>
    <mergeCell ref="A25:C25"/>
    <mergeCell ref="A26:C26"/>
    <mergeCell ref="A27:I27"/>
    <mergeCell ref="B28:J28"/>
    <mergeCell ref="B29:J29"/>
    <mergeCell ref="A30:C30"/>
    <mergeCell ref="B322:J322"/>
    <mergeCell ref="A312:C312"/>
    <mergeCell ref="A293:C293"/>
    <mergeCell ref="A305:C305"/>
    <mergeCell ref="A306:C306"/>
    <mergeCell ref="B257:J257"/>
    <mergeCell ref="B37:J37"/>
    <mergeCell ref="A396:C396"/>
    <mergeCell ref="A398:C398"/>
    <mergeCell ref="A399:C399"/>
    <mergeCell ref="B538:J538"/>
    <mergeCell ref="A309:C309"/>
    <mergeCell ref="A112:I112"/>
    <mergeCell ref="A84:C84"/>
    <mergeCell ref="A85:C85"/>
    <mergeCell ref="B311:J311"/>
    <mergeCell ref="A314:C314"/>
    <mergeCell ref="A114:C114"/>
    <mergeCell ref="A101:C101"/>
    <mergeCell ref="A379:C379"/>
    <mergeCell ref="A319:C319"/>
    <mergeCell ref="A320:C320"/>
    <mergeCell ref="A321:I321"/>
    <mergeCell ref="A539:C539"/>
    <mergeCell ref="A540:C541"/>
    <mergeCell ref="A374:C374"/>
    <mergeCell ref="A375:C375"/>
    <mergeCell ref="A376:C376"/>
    <mergeCell ref="A377:C377"/>
    <mergeCell ref="A290:C290"/>
    <mergeCell ref="A291:C291"/>
    <mergeCell ref="A389:I389"/>
    <mergeCell ref="A453:C453"/>
    <mergeCell ref="A394:C394"/>
    <mergeCell ref="A395:C395"/>
    <mergeCell ref="A393:C393"/>
    <mergeCell ref="A400:C400"/>
    <mergeCell ref="A402:C402"/>
    <mergeCell ref="A469:C469"/>
    <mergeCell ref="B390:J390"/>
    <mergeCell ref="A391:C391"/>
    <mergeCell ref="A412:I412"/>
    <mergeCell ref="B468:J468"/>
    <mergeCell ref="A401:C401"/>
    <mergeCell ref="A406:C406"/>
    <mergeCell ref="A486:B487"/>
    <mergeCell ref="A488:B489"/>
    <mergeCell ref="A22:C22"/>
    <mergeCell ref="A23:I23"/>
    <mergeCell ref="B24:J24"/>
    <mergeCell ref="A750:C750"/>
    <mergeCell ref="A32:I32"/>
    <mergeCell ref="B33:J33"/>
    <mergeCell ref="A34:C34"/>
    <mergeCell ref="A35:C35"/>
    <mergeCell ref="A36:I36"/>
    <mergeCell ref="A597:B598"/>
    <mergeCell ref="A579:B580"/>
    <mergeCell ref="A581:B582"/>
    <mergeCell ref="A737:I737"/>
    <mergeCell ref="A632:B633"/>
    <mergeCell ref="A634:B635"/>
    <mergeCell ref="A726:B726"/>
    <mergeCell ref="A732:B732"/>
    <mergeCell ref="A733:B733"/>
    <mergeCell ref="A609:C609"/>
    <mergeCell ref="A735:B735"/>
    <mergeCell ref="A86:C86"/>
    <mergeCell ref="A583:B584"/>
    <mergeCell ref="A457:B459"/>
    <mergeCell ref="A460:B462"/>
    <mergeCell ref="A463:B465"/>
    <mergeCell ref="A595:B596"/>
    <mergeCell ref="A562:C563"/>
    <mergeCell ref="A536:C536"/>
    <mergeCell ref="A470:B471"/>
    <mergeCell ref="A472:B473"/>
    <mergeCell ref="A431:B433"/>
    <mergeCell ref="A434:B436"/>
    <mergeCell ref="A1300:B1303"/>
    <mergeCell ref="A1304:B1307"/>
    <mergeCell ref="A1151:C1153"/>
    <mergeCell ref="A1154:C1156"/>
    <mergeCell ref="A1145:C1147"/>
    <mergeCell ref="A1148:C1150"/>
    <mergeCell ref="A1344:C1344"/>
    <mergeCell ref="A1338:I1338"/>
    <mergeCell ref="A1308:B1311"/>
    <mergeCell ref="A1312:B1313"/>
    <mergeCell ref="B1339:J1339"/>
    <mergeCell ref="A1340:C1340"/>
    <mergeCell ref="A1219:B1222"/>
    <mergeCell ref="A1179:B1182"/>
    <mergeCell ref="A1257:I1257"/>
    <mergeCell ref="A1117:C1117"/>
    <mergeCell ref="A1127:C1129"/>
    <mergeCell ref="A1314:B1317"/>
    <mergeCell ref="A1341:C1341"/>
    <mergeCell ref="A1342:C1342"/>
    <mergeCell ref="A1231:B1232"/>
    <mergeCell ref="A1233:B1236"/>
    <mergeCell ref="A1337:C1337"/>
    <mergeCell ref="A1351:C1351"/>
    <mergeCell ref="A1352:C1352"/>
    <mergeCell ref="A1255:C1255"/>
    <mergeCell ref="A1136:C1138"/>
    <mergeCell ref="A1040:C1040"/>
    <mergeCell ref="A774:C774"/>
    <mergeCell ref="A1050:C1050"/>
    <mergeCell ref="A1051:C1051"/>
    <mergeCell ref="A1102:C1102"/>
    <mergeCell ref="A1059:C1059"/>
    <mergeCell ref="A1089:C1090"/>
    <mergeCell ref="A1037:C1037"/>
    <mergeCell ref="A980:C980"/>
    <mergeCell ref="A1007:C1007"/>
    <mergeCell ref="A1009:C1009"/>
    <mergeCell ref="A1012:C1012"/>
    <mergeCell ref="A1020:C1020"/>
    <mergeCell ref="A1053:C1053"/>
    <mergeCell ref="A1049:C1049"/>
    <mergeCell ref="A1118:C1120"/>
    <mergeCell ref="B1024:J1024"/>
    <mergeCell ref="A1042:I1042"/>
    <mergeCell ref="A925:C925"/>
    <mergeCell ref="A777:I777"/>
    <mergeCell ref="A883:C883"/>
    <mergeCell ref="A884:C884"/>
    <mergeCell ref="A828:C828"/>
    <mergeCell ref="A1048:C1048"/>
    <mergeCell ref="A1031:C1031"/>
    <mergeCell ref="A1033:C1033"/>
    <mergeCell ref="A1034:C1034"/>
    <mergeCell ref="A1116:C1116"/>
    <mergeCell ref="A742:C742"/>
    <mergeCell ref="A743:C743"/>
    <mergeCell ref="A744:C744"/>
    <mergeCell ref="A745:C745"/>
    <mergeCell ref="A1018:C1018"/>
    <mergeCell ref="A902:C902"/>
    <mergeCell ref="A986:I986"/>
    <mergeCell ref="A758:I758"/>
    <mergeCell ref="A772:C772"/>
    <mergeCell ref="A773:C773"/>
    <mergeCell ref="A928:C928"/>
    <mergeCell ref="A930:I930"/>
    <mergeCell ref="A891:C891"/>
    <mergeCell ref="A859:C859"/>
    <mergeCell ref="B814:J814"/>
    <mergeCell ref="A815:C815"/>
    <mergeCell ref="A816:C816"/>
    <mergeCell ref="A782:C783"/>
    <mergeCell ref="A817:C817"/>
    <mergeCell ref="A818:C818"/>
    <mergeCell ref="A819:C819"/>
    <mergeCell ref="A851:C851"/>
    <mergeCell ref="A763:C763"/>
    <mergeCell ref="A947:C947"/>
    <mergeCell ref="A968:I968"/>
    <mergeCell ref="B969:J969"/>
    <mergeCell ref="A970:C970"/>
    <mergeCell ref="A953:C953"/>
    <mergeCell ref="A957:C957"/>
    <mergeCell ref="A845:C845"/>
    <mergeCell ref="A846:C846"/>
    <mergeCell ref="A847:C847"/>
    <mergeCell ref="B1876:J1876"/>
    <mergeCell ref="A1883:I1883"/>
    <mergeCell ref="B1872:J1872"/>
    <mergeCell ref="B1794:J1794"/>
    <mergeCell ref="A1175:I1175"/>
    <mergeCell ref="B1176:J1176"/>
    <mergeCell ref="A1195:B1196"/>
    <mergeCell ref="A1197:B1200"/>
    <mergeCell ref="A829:C829"/>
    <mergeCell ref="A1022:I1022"/>
    <mergeCell ref="A823:C823"/>
    <mergeCell ref="A824:C824"/>
    <mergeCell ref="A825:C825"/>
    <mergeCell ref="A826:C826"/>
    <mergeCell ref="A827:C827"/>
    <mergeCell ref="A972:C972"/>
    <mergeCell ref="A831:I831"/>
    <mergeCell ref="B836:J836"/>
    <mergeCell ref="A1110:C1110"/>
    <mergeCell ref="A1111:C1111"/>
    <mergeCell ref="A1109:C1109"/>
    <mergeCell ref="A1103:C1103"/>
    <mergeCell ref="A1108:C1108"/>
    <mergeCell ref="A1099:I1099"/>
    <mergeCell ref="A1066:C1066"/>
    <mergeCell ref="A1039:C1039"/>
    <mergeCell ref="A1139:C1141"/>
    <mergeCell ref="A1142:C1144"/>
    <mergeCell ref="A982:C982"/>
    <mergeCell ref="A1006:C1006"/>
    <mergeCell ref="A833:C833"/>
    <mergeCell ref="A834:C834"/>
    <mergeCell ref="B855:J855"/>
    <mergeCell ref="A856:C856"/>
    <mergeCell ref="A857:C857"/>
    <mergeCell ref="A858:C858"/>
    <mergeCell ref="A942:C942"/>
    <mergeCell ref="A915:C915"/>
    <mergeCell ref="A786:C787"/>
    <mergeCell ref="A788:C789"/>
    <mergeCell ref="A790:C791"/>
    <mergeCell ref="A919:C919"/>
    <mergeCell ref="A820:C820"/>
    <mergeCell ref="A784:C785"/>
    <mergeCell ref="B813:J813"/>
    <mergeCell ref="A941:C941"/>
    <mergeCell ref="A927:C927"/>
    <mergeCell ref="A865:C865"/>
    <mergeCell ref="A866:C866"/>
    <mergeCell ref="A867:C867"/>
    <mergeCell ref="A868:C868"/>
    <mergeCell ref="A871:C871"/>
    <mergeCell ref="A872:C872"/>
    <mergeCell ref="A873:I873"/>
    <mergeCell ref="A929:C929"/>
    <mergeCell ref="A879:C879"/>
    <mergeCell ref="B931:J931"/>
    <mergeCell ref="A932:C932"/>
    <mergeCell ref="A895:C895"/>
    <mergeCell ref="A876:C876"/>
    <mergeCell ref="A887:C887"/>
    <mergeCell ref="A864:C864"/>
    <mergeCell ref="A848:C848"/>
    <mergeCell ref="A849:C849"/>
    <mergeCell ref="A736:B736"/>
    <mergeCell ref="A723:B723"/>
    <mergeCell ref="A614:C614"/>
    <mergeCell ref="A757:C757"/>
    <mergeCell ref="A747:C747"/>
    <mergeCell ref="A748:C748"/>
    <mergeCell ref="B738:J738"/>
    <mergeCell ref="A830:C830"/>
    <mergeCell ref="B832:J832"/>
    <mergeCell ref="A838:C838"/>
    <mergeCell ref="A839:C839"/>
    <mergeCell ref="A840:C840"/>
    <mergeCell ref="A841:C841"/>
    <mergeCell ref="A842:C842"/>
    <mergeCell ref="A852:C852"/>
    <mergeCell ref="A853:C853"/>
    <mergeCell ref="A854:I854"/>
    <mergeCell ref="A749:C749"/>
    <mergeCell ref="A796:C797"/>
    <mergeCell ref="A798:C799"/>
    <mergeCell ref="A800:C801"/>
    <mergeCell ref="A802:C803"/>
    <mergeCell ref="A804:C805"/>
    <mergeCell ref="A806:C807"/>
    <mergeCell ref="A808:C809"/>
    <mergeCell ref="A810:C811"/>
    <mergeCell ref="A812:I812"/>
    <mergeCell ref="A821:C821"/>
    <mergeCell ref="A822:C822"/>
    <mergeCell ref="A766:C766"/>
    <mergeCell ref="B739:J739"/>
    <mergeCell ref="A740:C740"/>
    <mergeCell ref="A913:C913"/>
    <mergeCell ref="A907:C907"/>
    <mergeCell ref="A938:C938"/>
    <mergeCell ref="A939:C939"/>
    <mergeCell ref="A940:C940"/>
    <mergeCell ref="A901:C901"/>
    <mergeCell ref="A933:C933"/>
    <mergeCell ref="A934:C934"/>
    <mergeCell ref="B874:J874"/>
    <mergeCell ref="A877:C877"/>
    <mergeCell ref="A880:C880"/>
    <mergeCell ref="A910:C910"/>
    <mergeCell ref="A911:I911"/>
    <mergeCell ref="A943:C943"/>
    <mergeCell ref="A923:C923"/>
    <mergeCell ref="A888:C888"/>
    <mergeCell ref="A870:C870"/>
    <mergeCell ref="A476:B477"/>
    <mergeCell ref="A478:B479"/>
    <mergeCell ref="A509:C509"/>
    <mergeCell ref="A467:I467"/>
    <mergeCell ref="A843:C843"/>
    <mergeCell ref="A835:I835"/>
    <mergeCell ref="A713:B713"/>
    <mergeCell ref="A727:B727"/>
    <mergeCell ref="A684:B686"/>
    <mergeCell ref="A688:B690"/>
    <mergeCell ref="A691:B693"/>
    <mergeCell ref="A659:I659"/>
    <mergeCell ref="A704:B706"/>
    <mergeCell ref="A707:B709"/>
    <mergeCell ref="A944:C944"/>
    <mergeCell ref="A881:C881"/>
    <mergeCell ref="A882:C882"/>
    <mergeCell ref="A869:C869"/>
    <mergeCell ref="A889:C889"/>
    <mergeCell ref="A890:C890"/>
    <mergeCell ref="A892:I892"/>
    <mergeCell ref="B893:J893"/>
    <mergeCell ref="A894:C894"/>
    <mergeCell ref="A896:C896"/>
    <mergeCell ref="A899:C899"/>
    <mergeCell ref="A900:C900"/>
    <mergeCell ref="A903:C903"/>
    <mergeCell ref="A904:C904"/>
    <mergeCell ref="A905:C905"/>
    <mergeCell ref="A898:C898"/>
    <mergeCell ref="A897:C897"/>
    <mergeCell ref="B912:J912"/>
    <mergeCell ref="B950:J950"/>
    <mergeCell ref="A951:C951"/>
    <mergeCell ref="A962:C962"/>
    <mergeCell ref="A963:C963"/>
    <mergeCell ref="A966:C966"/>
    <mergeCell ref="A967:C967"/>
    <mergeCell ref="A983:C983"/>
    <mergeCell ref="A1013:C1013"/>
    <mergeCell ref="A965:C965"/>
    <mergeCell ref="A1026:C1026"/>
    <mergeCell ref="A1029:C1029"/>
    <mergeCell ref="A954:C954"/>
    <mergeCell ref="A955:C955"/>
    <mergeCell ref="A959:C959"/>
    <mergeCell ref="A440:C440"/>
    <mergeCell ref="B503:J503"/>
    <mergeCell ref="A537:I537"/>
    <mergeCell ref="A546:C547"/>
    <mergeCell ref="A524:C525"/>
    <mergeCell ref="A466:C466"/>
    <mergeCell ref="A505:C506"/>
    <mergeCell ref="A512:C513"/>
    <mergeCell ref="A514:C515"/>
    <mergeCell ref="A441:B443"/>
    <mergeCell ref="A444:B446"/>
    <mergeCell ref="A447:B449"/>
    <mergeCell ref="A450:B452"/>
    <mergeCell ref="A860:C860"/>
    <mergeCell ref="A861:C861"/>
    <mergeCell ref="A862:C862"/>
    <mergeCell ref="A863:C863"/>
    <mergeCell ref="A474:B475"/>
    <mergeCell ref="A1272:B1275"/>
    <mergeCell ref="B1000:J1000"/>
    <mergeCell ref="A1001:C1001"/>
    <mergeCell ref="A1002:C1002"/>
    <mergeCell ref="A1003:I1003"/>
    <mergeCell ref="A1251:C1251"/>
    <mergeCell ref="A1252:C1252"/>
    <mergeCell ref="A1253:C1253"/>
    <mergeCell ref="A1254:C1254"/>
    <mergeCell ref="A1256:C1256"/>
    <mergeCell ref="B1061:J1061"/>
    <mergeCell ref="A1064:I1064"/>
    <mergeCell ref="B1065:J1065"/>
    <mergeCell ref="A1067:C1068"/>
    <mergeCell ref="A1071:C1072"/>
    <mergeCell ref="A1075:C1076"/>
    <mergeCell ref="A1077:C1078"/>
    <mergeCell ref="A1079:C1080"/>
    <mergeCell ref="A1085:C1086"/>
    <mergeCell ref="A1010:C1010"/>
    <mergeCell ref="A1104:C1104"/>
    <mergeCell ref="A1063:C1063"/>
    <mergeCell ref="A1083:C1084"/>
    <mergeCell ref="A1133:C1135"/>
    <mergeCell ref="A1021:C1021"/>
    <mergeCell ref="A1017:C1017"/>
    <mergeCell ref="A1259:C1259"/>
    <mergeCell ref="A1047:C1047"/>
    <mergeCell ref="A1058:C1058"/>
    <mergeCell ref="A1060:I1060"/>
    <mergeCell ref="A1069:C1070"/>
    <mergeCell ref="A1093:C1094"/>
    <mergeCell ref="A1488:I1488"/>
    <mergeCell ref="B1489:J1489"/>
    <mergeCell ref="A1490:C1490"/>
    <mergeCell ref="A1491:C1491"/>
    <mergeCell ref="A1492:C1492"/>
    <mergeCell ref="A1493:C1493"/>
    <mergeCell ref="A1494:C1494"/>
    <mergeCell ref="A1495:C1495"/>
    <mergeCell ref="A1496:C1496"/>
    <mergeCell ref="A1497:C1497"/>
    <mergeCell ref="A1498:C1498"/>
    <mergeCell ref="A1502:C1502"/>
    <mergeCell ref="A1503:C1503"/>
    <mergeCell ref="B1450:J1450"/>
    <mergeCell ref="A1028:C1028"/>
    <mergeCell ref="A958:C958"/>
    <mergeCell ref="A964:C964"/>
    <mergeCell ref="A1005:C1005"/>
    <mergeCell ref="A961:C961"/>
    <mergeCell ref="A999:I999"/>
    <mergeCell ref="A1345:C1345"/>
    <mergeCell ref="A1346:C1346"/>
    <mergeCell ref="A1347:C1347"/>
    <mergeCell ref="A1348:C1348"/>
    <mergeCell ref="A1349:C1349"/>
    <mergeCell ref="A1350:C1350"/>
    <mergeCell ref="A1318:B1321"/>
    <mergeCell ref="A1322:B1325"/>
    <mergeCell ref="A1326:B1329"/>
    <mergeCell ref="A1330:B1331"/>
    <mergeCell ref="A1264:B1267"/>
    <mergeCell ref="A1268:B1271"/>
    <mergeCell ref="A945:C945"/>
    <mergeCell ref="A946:C946"/>
    <mergeCell ref="A935:C935"/>
    <mergeCell ref="A936:C936"/>
    <mergeCell ref="A937:C937"/>
    <mergeCell ref="A918:C918"/>
    <mergeCell ref="A921:C921"/>
    <mergeCell ref="A922:C922"/>
    <mergeCell ref="A926:C926"/>
    <mergeCell ref="A1624:C1624"/>
    <mergeCell ref="A1600:C1600"/>
    <mergeCell ref="A1520:C1520"/>
    <mergeCell ref="A1512:C1512"/>
    <mergeCell ref="A1513:C1513"/>
    <mergeCell ref="A1517:C1517"/>
    <mergeCell ref="A1518:C1518"/>
    <mergeCell ref="A1519:C1519"/>
    <mergeCell ref="A1524:C1524"/>
    <mergeCell ref="A1452:C1452"/>
    <mergeCell ref="A1453:C1453"/>
    <mergeCell ref="A1454:C1454"/>
    <mergeCell ref="A1455:C1455"/>
    <mergeCell ref="A1456:C1456"/>
    <mergeCell ref="A1457:C1457"/>
    <mergeCell ref="B1451:J1451"/>
    <mergeCell ref="A1555:C1555"/>
    <mergeCell ref="A1526:I1526"/>
    <mergeCell ref="B1527:J1527"/>
    <mergeCell ref="A1552:C1552"/>
    <mergeCell ref="A1553:C1553"/>
    <mergeCell ref="A1480:C1480"/>
    <mergeCell ref="A1551:C1551"/>
    <mergeCell ref="A1830:I1830"/>
    <mergeCell ref="B1831:J1831"/>
    <mergeCell ref="A1458:C1458"/>
    <mergeCell ref="A1459:C1459"/>
    <mergeCell ref="A1460:C1460"/>
    <mergeCell ref="A1461:C1461"/>
    <mergeCell ref="A1462:C1462"/>
    <mergeCell ref="A1463:C1463"/>
    <mergeCell ref="A1464:C1464"/>
    <mergeCell ref="A1465:C1465"/>
    <mergeCell ref="A1466:C1466"/>
    <mergeCell ref="A1501:C1501"/>
    <mergeCell ref="B1470:J1470"/>
    <mergeCell ref="A1471:C1471"/>
    <mergeCell ref="A1558:C1558"/>
    <mergeCell ref="A1559:C1559"/>
    <mergeCell ref="A1586:C1586"/>
    <mergeCell ref="A1567:C1567"/>
    <mergeCell ref="B1565:J1565"/>
    <mergeCell ref="A1566:C1566"/>
    <mergeCell ref="A1568:C1568"/>
    <mergeCell ref="A1547:C1547"/>
    <mergeCell ref="A1549:C1549"/>
    <mergeCell ref="A1504:C1504"/>
    <mergeCell ref="A1505:C1505"/>
    <mergeCell ref="A1506:C1506"/>
    <mergeCell ref="A1482:C1482"/>
    <mergeCell ref="A1483:C1483"/>
    <mergeCell ref="A1484:C1484"/>
    <mergeCell ref="A1472:C1472"/>
    <mergeCell ref="A1473:C1473"/>
    <mergeCell ref="A1541:C1541"/>
    <mergeCell ref="A1834:I1834"/>
    <mergeCell ref="B1835:J1835"/>
    <mergeCell ref="A1838:I1838"/>
    <mergeCell ref="A1607:C1607"/>
    <mergeCell ref="A1601:C1601"/>
    <mergeCell ref="A1603:I1603"/>
    <mergeCell ref="A1602:C1602"/>
    <mergeCell ref="A1569:C1569"/>
    <mergeCell ref="A1570:C1570"/>
    <mergeCell ref="A1543:C1543"/>
    <mergeCell ref="A1544:C1544"/>
    <mergeCell ref="A1545:I1545"/>
    <mergeCell ref="A1537:C1537"/>
    <mergeCell ref="A1538:C1538"/>
    <mergeCell ref="A1531:C1531"/>
    <mergeCell ref="A1532:C1532"/>
    <mergeCell ref="A1533:C1533"/>
    <mergeCell ref="A1534:C1534"/>
    <mergeCell ref="A1535:C1535"/>
    <mergeCell ref="A1536:C1536"/>
    <mergeCell ref="A1757:C1757"/>
    <mergeCell ref="A1758:I1758"/>
    <mergeCell ref="A1595:C1595"/>
    <mergeCell ref="A1596:C1596"/>
    <mergeCell ref="A1597:C1597"/>
    <mergeCell ref="A1550:C1550"/>
    <mergeCell ref="A1571:C1571"/>
    <mergeCell ref="A1572:C1572"/>
    <mergeCell ref="A1573:C1573"/>
    <mergeCell ref="A1574:C1574"/>
    <mergeCell ref="B1604:J1604"/>
    <mergeCell ref="A1557:C1557"/>
    <mergeCell ref="A1585:C1585"/>
    <mergeCell ref="A1587:C1587"/>
    <mergeCell ref="A1467:C1467"/>
    <mergeCell ref="A1468:C1468"/>
    <mergeCell ref="A1469:I1469"/>
    <mergeCell ref="A1507:I1507"/>
    <mergeCell ref="B1508:J1508"/>
    <mergeCell ref="A1509:C1509"/>
    <mergeCell ref="A1510:C1510"/>
    <mergeCell ref="A1511:C1511"/>
    <mergeCell ref="A1515:C1515"/>
    <mergeCell ref="A1516:C1516"/>
    <mergeCell ref="A1904:C1904"/>
    <mergeCell ref="A1905:C1905"/>
    <mergeCell ref="A1906:I1906"/>
    <mergeCell ref="A1599:C1599"/>
    <mergeCell ref="A1485:C1485"/>
    <mergeCell ref="A1486:C1486"/>
    <mergeCell ref="A1561:C1561"/>
    <mergeCell ref="A1562:C1562"/>
    <mergeCell ref="A1592:C1592"/>
    <mergeCell ref="A1593:C1593"/>
    <mergeCell ref="A1594:C1594"/>
    <mergeCell ref="A1528:C1528"/>
    <mergeCell ref="A1529:C1529"/>
    <mergeCell ref="A1530:C1530"/>
    <mergeCell ref="A1548:C1548"/>
    <mergeCell ref="A1556:C1556"/>
    <mergeCell ref="A1560:C1560"/>
    <mergeCell ref="B1584:J1584"/>
    <mergeCell ref="A1845:C1845"/>
    <mergeCell ref="A1849:C1849"/>
    <mergeCell ref="B1907:J1907"/>
    <mergeCell ref="A1908:C1908"/>
    <mergeCell ref="A1909:C1909"/>
    <mergeCell ref="A1910:C1910"/>
    <mergeCell ref="A1911:I1911"/>
    <mergeCell ref="A1605:C1605"/>
    <mergeCell ref="A1606:C1606"/>
    <mergeCell ref="B1902:J1902"/>
    <mergeCell ref="B1855:J1855"/>
    <mergeCell ref="A1899:C1899"/>
    <mergeCell ref="A1889:I1889"/>
    <mergeCell ref="B1890:J1890"/>
    <mergeCell ref="A1891:C1891"/>
    <mergeCell ref="A1892:C1892"/>
    <mergeCell ref="A1893:C1893"/>
    <mergeCell ref="A1894:C1894"/>
    <mergeCell ref="A1895:I1895"/>
    <mergeCell ref="B1896:J1896"/>
    <mergeCell ref="A1897:C1897"/>
    <mergeCell ref="A1898:C1898"/>
    <mergeCell ref="A1647:C1647"/>
    <mergeCell ref="A1662:C1662"/>
    <mergeCell ref="A1663:C1663"/>
    <mergeCell ref="A1664:C1664"/>
    <mergeCell ref="A1656:C1656"/>
    <mergeCell ref="A1645:C1645"/>
    <mergeCell ref="A1857:C1857"/>
    <mergeCell ref="A1861:C1861"/>
    <mergeCell ref="B1839:J1839"/>
    <mergeCell ref="A1689:I1689"/>
    <mergeCell ref="A1750:I1750"/>
    <mergeCell ref="B1739:J1739"/>
    <mergeCell ref="A1853:C1853"/>
    <mergeCell ref="A1862:C1862"/>
    <mergeCell ref="A1643:C1643"/>
    <mergeCell ref="A1644:C1644"/>
    <mergeCell ref="A1609:C1609"/>
    <mergeCell ref="A1610:C1610"/>
    <mergeCell ref="A1611:C1611"/>
    <mergeCell ref="A1612:C1612"/>
    <mergeCell ref="A1613:C1613"/>
    <mergeCell ref="A1614:C1614"/>
    <mergeCell ref="A1615:C1615"/>
    <mergeCell ref="A1616:C1616"/>
    <mergeCell ref="A1617:C1617"/>
    <mergeCell ref="A1618:C1618"/>
    <mergeCell ref="A1619:C1619"/>
    <mergeCell ref="A1620:C1620"/>
    <mergeCell ref="A1621:C1621"/>
    <mergeCell ref="A1622:I1622"/>
    <mergeCell ref="B1623:J1623"/>
    <mergeCell ref="B1642:J1642"/>
    <mergeCell ref="A1657:C1657"/>
    <mergeCell ref="A1658:C1658"/>
    <mergeCell ref="A1625:C1625"/>
    <mergeCell ref="A1626:C1626"/>
    <mergeCell ref="A1627:C1627"/>
    <mergeCell ref="A1628:C1628"/>
    <mergeCell ref="A1629:C1629"/>
    <mergeCell ref="A1630:C1630"/>
    <mergeCell ref="A1631:C1631"/>
    <mergeCell ref="A1632:C1632"/>
    <mergeCell ref="A1637:C1637"/>
    <mergeCell ref="A1638:C1638"/>
    <mergeCell ref="A1575:C1575"/>
    <mergeCell ref="A1576:C1576"/>
    <mergeCell ref="A1542:C1542"/>
    <mergeCell ref="A1554:C1554"/>
    <mergeCell ref="A1563:C1563"/>
    <mergeCell ref="A714:I714"/>
    <mergeCell ref="A638:B639"/>
    <mergeCell ref="A1844:C1844"/>
    <mergeCell ref="A1848:C1848"/>
    <mergeCell ref="A1852:C1852"/>
    <mergeCell ref="A1539:C1539"/>
    <mergeCell ref="A1540:C1540"/>
    <mergeCell ref="A1577:C1577"/>
    <mergeCell ref="A1578:C1578"/>
    <mergeCell ref="A1579:C1579"/>
    <mergeCell ref="A1580:C1580"/>
    <mergeCell ref="A1581:C1581"/>
    <mergeCell ref="A1582:C1582"/>
    <mergeCell ref="A1583:I1583"/>
    <mergeCell ref="A1588:C1588"/>
    <mergeCell ref="A1589:C1589"/>
    <mergeCell ref="A1590:C1590"/>
    <mergeCell ref="A1591:C1591"/>
    <mergeCell ref="A1608:C1608"/>
    <mergeCell ref="A1665:I1665"/>
    <mergeCell ref="B1666:J1666"/>
    <mergeCell ref="A1667:C1667"/>
    <mergeCell ref="B1546:J1546"/>
    <mergeCell ref="A1633:C1633"/>
    <mergeCell ref="A1634:C1634"/>
    <mergeCell ref="A1635:C1635"/>
    <mergeCell ref="A1636:C1636"/>
    <mergeCell ref="A1639:C1639"/>
    <mergeCell ref="A1640:C1640"/>
    <mergeCell ref="A1641:I1641"/>
    <mergeCell ref="A761:C761"/>
    <mergeCell ref="B715:J715"/>
    <mergeCell ref="A716:C716"/>
    <mergeCell ref="A1923:C1924"/>
    <mergeCell ref="A1925:C1926"/>
    <mergeCell ref="A1927:I1927"/>
    <mergeCell ref="B1912:J1912"/>
    <mergeCell ref="A1917:C1917"/>
    <mergeCell ref="A1918:I1918"/>
    <mergeCell ref="A1564:I1564"/>
    <mergeCell ref="B1885:J1885"/>
    <mergeCell ref="A1598:C1598"/>
    <mergeCell ref="A1276:B1277"/>
    <mergeCell ref="A1278:B1281"/>
    <mergeCell ref="A1282:B1285"/>
    <mergeCell ref="A1286:B1289"/>
    <mergeCell ref="A1290:B1293"/>
    <mergeCell ref="A1294:B1295"/>
    <mergeCell ref="A1296:B1299"/>
    <mergeCell ref="A1521:C1521"/>
    <mergeCell ref="A1522:C1522"/>
    <mergeCell ref="A1523:C1523"/>
    <mergeCell ref="A731:B731"/>
    <mergeCell ref="A728:B728"/>
    <mergeCell ref="A729:B729"/>
    <mergeCell ref="A730:B730"/>
    <mergeCell ref="A734:B734"/>
    <mergeCell ref="A1685:C1685"/>
    <mergeCell ref="A1525:C1525"/>
    <mergeCell ref="A325:J325"/>
    <mergeCell ref="A326:C326"/>
    <mergeCell ref="A327:C327"/>
    <mergeCell ref="A330:C330"/>
    <mergeCell ref="A331:C331"/>
    <mergeCell ref="A717:B717"/>
    <mergeCell ref="A718:B718"/>
    <mergeCell ref="A719:B719"/>
    <mergeCell ref="A720:B720"/>
    <mergeCell ref="A721:B721"/>
    <mergeCell ref="A722:B722"/>
    <mergeCell ref="A725:B725"/>
    <mergeCell ref="A332:C332"/>
    <mergeCell ref="A329:C329"/>
    <mergeCell ref="A328:C328"/>
    <mergeCell ref="B660:J660"/>
    <mergeCell ref="A661:C661"/>
    <mergeCell ref="B616:J616"/>
    <mergeCell ref="A599:B600"/>
    <mergeCell ref="A601:B602"/>
    <mergeCell ref="A617:C617"/>
    <mergeCell ref="A640:B641"/>
    <mergeCell ref="A665:B667"/>
    <mergeCell ref="A668:B670"/>
    <mergeCell ref="A615:I615"/>
    <mergeCell ref="B651:J651"/>
    <mergeCell ref="A662:B664"/>
    <mergeCell ref="A654:C654"/>
    <mergeCell ref="A655:C655"/>
    <mergeCell ref="A656:C656"/>
    <mergeCell ref="A657:C657"/>
    <mergeCell ref="A658:C658"/>
    <mergeCell ref="A613:C613"/>
    <mergeCell ref="A611:C611"/>
    <mergeCell ref="A612:C612"/>
    <mergeCell ref="A678:B680"/>
    <mergeCell ref="A681:B683"/>
    <mergeCell ref="A636:B637"/>
    <mergeCell ref="A642:B643"/>
    <mergeCell ref="A644:B645"/>
    <mergeCell ref="A646:B647"/>
    <mergeCell ref="A618:B619"/>
    <mergeCell ref="A620:B621"/>
    <mergeCell ref="A622:B623"/>
    <mergeCell ref="A624:B625"/>
    <mergeCell ref="A626:B627"/>
    <mergeCell ref="A700:B700"/>
    <mergeCell ref="A701:B703"/>
    <mergeCell ref="A648:B649"/>
    <mergeCell ref="A650:I650"/>
    <mergeCell ref="A675:B677"/>
    <mergeCell ref="A652:C652"/>
    <mergeCell ref="A1:J3"/>
    <mergeCell ref="A6:A7"/>
    <mergeCell ref="B6:G7"/>
    <mergeCell ref="H6:H7"/>
    <mergeCell ref="I6:I7"/>
    <mergeCell ref="J6:J7"/>
    <mergeCell ref="A226:C227"/>
    <mergeCell ref="A230:C231"/>
    <mergeCell ref="A5:J5"/>
    <mergeCell ref="A4:J4"/>
    <mergeCell ref="A8:J8"/>
    <mergeCell ref="B9:J9"/>
    <mergeCell ref="A18:I18"/>
    <mergeCell ref="B10:J10"/>
    <mergeCell ref="H14:J14"/>
    <mergeCell ref="B19:J19"/>
    <mergeCell ref="A357:C357"/>
    <mergeCell ref="A16:C16"/>
    <mergeCell ref="A15:C15"/>
    <mergeCell ref="A14:C14"/>
    <mergeCell ref="A242:C243"/>
    <mergeCell ref="A143:C144"/>
    <mergeCell ref="A38:C38"/>
    <mergeCell ref="A39:C39"/>
    <mergeCell ref="A40:I40"/>
    <mergeCell ref="B41:J41"/>
    <mergeCell ref="A42:C42"/>
    <mergeCell ref="A43:C43"/>
    <mergeCell ref="A44:I44"/>
    <mergeCell ref="B45:J45"/>
    <mergeCell ref="A46:C46"/>
    <mergeCell ref="B67:J67"/>
    <mergeCell ref="A11:C13"/>
    <mergeCell ref="D11:E13"/>
    <mergeCell ref="F11:G13"/>
    <mergeCell ref="H11:J13"/>
    <mergeCell ref="A370:C370"/>
    <mergeCell ref="A98:C98"/>
    <mergeCell ref="A99:C99"/>
    <mergeCell ref="B221:J221"/>
    <mergeCell ref="A222:C222"/>
    <mergeCell ref="A139:I139"/>
    <mergeCell ref="A103:C103"/>
    <mergeCell ref="A104:C104"/>
    <mergeCell ref="A105:C105"/>
    <mergeCell ref="A106:C106"/>
    <mergeCell ref="A107:C107"/>
    <mergeCell ref="A108:C108"/>
    <mergeCell ref="A109:C109"/>
    <mergeCell ref="A111:C111"/>
    <mergeCell ref="A92:C92"/>
    <mergeCell ref="A273:C273"/>
    <mergeCell ref="A274:C274"/>
    <mergeCell ref="A275:C275"/>
    <mergeCell ref="A349:C349"/>
    <mergeCell ref="B367:J367"/>
    <mergeCell ref="A363:C363"/>
    <mergeCell ref="A364:C364"/>
    <mergeCell ref="A365:C365"/>
    <mergeCell ref="A68:C68"/>
    <mergeCell ref="A69:C69"/>
    <mergeCell ref="A70:I70"/>
    <mergeCell ref="A47:C47"/>
    <mergeCell ref="A93:I93"/>
    <mergeCell ref="A281:C281"/>
    <mergeCell ref="A238:C239"/>
    <mergeCell ref="A264:C264"/>
    <mergeCell ref="A265:C265"/>
    <mergeCell ref="A266:C266"/>
    <mergeCell ref="A267:C267"/>
    <mergeCell ref="A268:C268"/>
    <mergeCell ref="A269:C269"/>
    <mergeCell ref="A381:C381"/>
    <mergeCell ref="A382:C382"/>
    <mergeCell ref="B413:J413"/>
    <mergeCell ref="A414:C414"/>
    <mergeCell ref="A427:C427"/>
    <mergeCell ref="A350:C350"/>
    <mergeCell ref="A351:C351"/>
    <mergeCell ref="A352:C352"/>
    <mergeCell ref="A353:C353"/>
    <mergeCell ref="A354:C354"/>
    <mergeCell ref="A355:C355"/>
    <mergeCell ref="A356:C356"/>
    <mergeCell ref="A383:C383"/>
    <mergeCell ref="A384:C384"/>
    <mergeCell ref="A385:C385"/>
    <mergeCell ref="A386:C386"/>
    <mergeCell ref="A387:C387"/>
    <mergeCell ref="A388:C388"/>
    <mergeCell ref="A415:B417"/>
    <mergeCell ref="A418:B420"/>
    <mergeCell ref="A421:B423"/>
    <mergeCell ref="A424:B426"/>
    <mergeCell ref="A392:C392"/>
    <mergeCell ref="A380:C380"/>
    <mergeCell ref="A128:C128"/>
    <mergeCell ref="A130:C130"/>
    <mergeCell ref="A123:C123"/>
    <mergeCell ref="A124:C124"/>
    <mergeCell ref="A125:C125"/>
    <mergeCell ref="A278:C278"/>
    <mergeCell ref="A118:C118"/>
    <mergeCell ref="A175:J175"/>
    <mergeCell ref="A176:C177"/>
    <mergeCell ref="B179:J179"/>
    <mergeCell ref="A178:I178"/>
    <mergeCell ref="A181:J181"/>
    <mergeCell ref="A182:C183"/>
    <mergeCell ref="A184:I184"/>
    <mergeCell ref="B185:J185"/>
    <mergeCell ref="A186:C186"/>
    <mergeCell ref="A188:C189"/>
    <mergeCell ref="A156:C157"/>
    <mergeCell ref="A158:C159"/>
    <mergeCell ref="A160:C161"/>
    <mergeCell ref="A162:C163"/>
    <mergeCell ref="A164:C165"/>
    <mergeCell ref="A166:C167"/>
    <mergeCell ref="A168:C169"/>
    <mergeCell ref="A170:C171"/>
    <mergeCell ref="A172:C173"/>
    <mergeCell ref="A187:J187"/>
    <mergeCell ref="A190:C191"/>
    <mergeCell ref="A192:C193"/>
    <mergeCell ref="A194:C195"/>
    <mergeCell ref="A196:C197"/>
    <mergeCell ref="A198:C199"/>
    <mergeCell ref="A1914:C1914"/>
    <mergeCell ref="A131:I131"/>
    <mergeCell ref="B132:J132"/>
    <mergeCell ref="A133:C133"/>
    <mergeCell ref="A138:C138"/>
    <mergeCell ref="A136:C136"/>
    <mergeCell ref="A134:C134"/>
    <mergeCell ref="A137:C137"/>
    <mergeCell ref="A282:C282"/>
    <mergeCell ref="A1711:C1711"/>
    <mergeCell ref="A1712:C1712"/>
    <mergeCell ref="A1716:C1716"/>
    <mergeCell ref="A1717:C1717"/>
    <mergeCell ref="B1723:J1723"/>
    <mergeCell ref="A1724:C1724"/>
    <mergeCell ref="A1725:C1725"/>
    <mergeCell ref="A369:C369"/>
    <mergeCell ref="A338:C338"/>
    <mergeCell ref="A339:C339"/>
    <mergeCell ref="A340:C340"/>
    <mergeCell ref="A341:C341"/>
    <mergeCell ref="A342:C342"/>
    <mergeCell ref="A343:C343"/>
    <mergeCell ref="A344:C344"/>
    <mergeCell ref="A345:C345"/>
    <mergeCell ref="A337:C337"/>
    <mergeCell ref="A333:C333"/>
    <mergeCell ref="A334:C334"/>
    <mergeCell ref="A335:C335"/>
    <mergeCell ref="A336:C336"/>
    <mergeCell ref="A224:C225"/>
    <mergeCell ref="A236:C237"/>
    <mergeCell ref="A1920:C1920"/>
    <mergeCell ref="A58:C58"/>
    <mergeCell ref="A1736:C1736"/>
    <mergeCell ref="A1740:C1740"/>
    <mergeCell ref="A1744:C1744"/>
    <mergeCell ref="A1748:C1748"/>
    <mergeCell ref="A1752:C1752"/>
    <mergeCell ref="A1756:C1756"/>
    <mergeCell ref="A1760:C1760"/>
    <mergeCell ref="A1764:C1764"/>
    <mergeCell ref="A1769:C1769"/>
    <mergeCell ref="A1774:C1774"/>
    <mergeCell ref="A1779:C1779"/>
    <mergeCell ref="A1783:C1783"/>
    <mergeCell ref="A1787:C1787"/>
    <mergeCell ref="A1791:C1791"/>
    <mergeCell ref="A1796:C1796"/>
    <mergeCell ref="A1800:C1800"/>
    <mergeCell ref="A741:J741"/>
    <mergeCell ref="A80:C80"/>
    <mergeCell ref="A81:C81"/>
    <mergeCell ref="A97:C97"/>
    <mergeCell ref="A96:C96"/>
    <mergeCell ref="A83:C83"/>
    <mergeCell ref="A280:C280"/>
    <mergeCell ref="A284:C284"/>
    <mergeCell ref="A285:C285"/>
    <mergeCell ref="A286:C286"/>
    <mergeCell ref="A287:C287"/>
    <mergeCell ref="A276:C276"/>
    <mergeCell ref="A277:C277"/>
    <mergeCell ref="A135:C135"/>
    <mergeCell ref="A358:C358"/>
    <mergeCell ref="A359:C359"/>
    <mergeCell ref="A360:C360"/>
    <mergeCell ref="A361:C361"/>
    <mergeCell ref="A362:C362"/>
    <mergeCell ref="A724:B724"/>
    <mergeCell ref="A697:B699"/>
    <mergeCell ref="A674:B674"/>
    <mergeCell ref="A687:B687"/>
    <mergeCell ref="A346:C346"/>
    <mergeCell ref="A347:C347"/>
    <mergeCell ref="A348:C348"/>
    <mergeCell ref="A371:C371"/>
    <mergeCell ref="A566:C567"/>
    <mergeCell ref="A568:C569"/>
    <mergeCell ref="A368:C368"/>
    <mergeCell ref="A428:B430"/>
    <mergeCell ref="A694:B696"/>
    <mergeCell ref="A628:B629"/>
    <mergeCell ref="A630:B631"/>
    <mergeCell ref="A603:B604"/>
    <mergeCell ref="A605:B606"/>
    <mergeCell ref="A607:B608"/>
    <mergeCell ref="A576:C576"/>
    <mergeCell ref="A510:C511"/>
    <mergeCell ref="A570:C571"/>
    <mergeCell ref="A522:C523"/>
    <mergeCell ref="A378:C378"/>
    <mergeCell ref="A671:B673"/>
    <mergeCell ref="A653:C653"/>
    <mergeCell ref="A710:B712"/>
    <mergeCell ref="A610:C610"/>
  </mergeCells>
  <phoneticPr fontId="11" type="noConversion"/>
  <pageMargins left="0.70866141732283472" right="0.70866141732283472" top="0.74803149606299213" bottom="0.74803149606299213" header="0" footer="0"/>
  <pageSetup paperSize="9" scale="52" fitToHeight="0" orientation="portrait" r:id="rId1"/>
  <rowBreaks count="22" manualBreakCount="22">
    <brk id="81" max="9" man="1"/>
    <brk id="157" max="9" man="1"/>
    <brk id="241" max="9" man="1"/>
    <brk id="328" max="9" man="1"/>
    <brk id="412" max="9" man="1"/>
    <brk id="499" max="9" man="1"/>
    <brk id="584" max="9" man="1"/>
    <brk id="667" max="9" man="1"/>
    <brk id="754" max="9" man="1"/>
    <brk id="835" max="9" man="1"/>
    <brk id="917" max="9" man="1"/>
    <brk id="999" max="9" man="1"/>
    <brk id="1082" max="9" man="1"/>
    <brk id="1165" max="9" man="1"/>
    <brk id="1250" max="9" man="1"/>
    <brk id="1338" max="9" man="1"/>
    <brk id="1421" max="9" man="1"/>
    <brk id="1507" max="9" man="1"/>
    <brk id="1592" max="9" man="1"/>
    <brk id="1679" max="9" man="1"/>
    <brk id="1762" max="9" man="1"/>
    <brk id="1846" max="9"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G51"/>
  <sheetViews>
    <sheetView topLeftCell="A25" workbookViewId="0">
      <selection activeCell="E58" sqref="E58"/>
    </sheetView>
  </sheetViews>
  <sheetFormatPr defaultRowHeight="12.75" x14ac:dyDescent="0.2"/>
  <sheetData>
    <row r="4" spans="2:7" x14ac:dyDescent="0.2">
      <c r="B4" s="31" t="s">
        <v>292</v>
      </c>
      <c r="C4">
        <v>5</v>
      </c>
      <c r="D4">
        <v>25</v>
      </c>
      <c r="E4">
        <f>8*(4+18+18+18*2)+4*(8+36+36+18+18)+3*(8+36+18*3)+8+18*2+18*2+(18+18+8)*2+4*(12+18*3+18*2+18+18)</f>
        <v>2086</v>
      </c>
      <c r="F4">
        <v>0.154</v>
      </c>
      <c r="G4">
        <f>F4*E4*D4/100*1.1</f>
        <v>88.342100000000002</v>
      </c>
    </row>
    <row r="5" spans="2:7" x14ac:dyDescent="0.2">
      <c r="B5" s="31" t="s">
        <v>293</v>
      </c>
      <c r="C5">
        <v>5</v>
      </c>
      <c r="D5">
        <v>101</v>
      </c>
      <c r="E5">
        <f>8*(4+18+18+18*2)+4*(4+18*4)+3*(4+18*4)+8+18*2+18*2+2*(18*2+8*12)</f>
        <v>1484</v>
      </c>
      <c r="F5">
        <v>0.154</v>
      </c>
      <c r="G5">
        <f t="shared" ref="G5:G16" si="0">F5*E5*D5/100*1.1</f>
        <v>253.90349600000002</v>
      </c>
    </row>
    <row r="6" spans="2:7" x14ac:dyDescent="0.2">
      <c r="B6" s="31" t="s">
        <v>294</v>
      </c>
      <c r="C6">
        <v>5</v>
      </c>
      <c r="D6">
        <v>121</v>
      </c>
      <c r="E6">
        <f>4*(4+18*4)</f>
        <v>304</v>
      </c>
      <c r="F6">
        <v>0.154</v>
      </c>
      <c r="G6">
        <f t="shared" si="0"/>
        <v>62.312096000000004</v>
      </c>
    </row>
    <row r="7" spans="2:7" x14ac:dyDescent="0.2">
      <c r="B7" s="31" t="s">
        <v>295</v>
      </c>
      <c r="C7">
        <v>10</v>
      </c>
      <c r="D7">
        <v>122</v>
      </c>
      <c r="E7">
        <f>8*6+24+12</f>
        <v>84</v>
      </c>
      <c r="F7">
        <v>0.61699999999999999</v>
      </c>
      <c r="G7">
        <f t="shared" si="0"/>
        <v>69.553176000000008</v>
      </c>
    </row>
    <row r="8" spans="2:7" x14ac:dyDescent="0.2">
      <c r="B8" s="31" t="s">
        <v>296</v>
      </c>
      <c r="C8">
        <v>10</v>
      </c>
      <c r="D8">
        <v>314</v>
      </c>
      <c r="E8">
        <f>8*6+48+48+16+24+12+18+18+12*4+16+24</f>
        <v>320</v>
      </c>
      <c r="F8">
        <v>0.61699999999999999</v>
      </c>
      <c r="G8">
        <f t="shared" si="0"/>
        <v>681.95776000000001</v>
      </c>
    </row>
    <row r="9" spans="2:7" x14ac:dyDescent="0.2">
      <c r="B9" s="31" t="s">
        <v>297</v>
      </c>
      <c r="C9">
        <v>10</v>
      </c>
      <c r="D9">
        <v>269</v>
      </c>
      <c r="E9">
        <f>48+16+24+12+18+16+24</f>
        <v>158</v>
      </c>
      <c r="F9">
        <v>0.61699999999999999</v>
      </c>
      <c r="G9">
        <f t="shared" si="0"/>
        <v>288.46107400000005</v>
      </c>
    </row>
    <row r="10" spans="2:7" x14ac:dyDescent="0.2">
      <c r="B10" s="31" t="s">
        <v>298</v>
      </c>
      <c r="C10">
        <v>10</v>
      </c>
      <c r="D10">
        <v>75</v>
      </c>
      <c r="E10">
        <f>4*2+6+8</f>
        <v>22</v>
      </c>
      <c r="F10">
        <v>0.61699999999999999</v>
      </c>
      <c r="G10">
        <f t="shared" si="0"/>
        <v>11.198550000000001</v>
      </c>
    </row>
    <row r="11" spans="2:7" x14ac:dyDescent="0.2">
      <c r="B11" s="31" t="s">
        <v>299</v>
      </c>
      <c r="C11">
        <v>10</v>
      </c>
      <c r="D11">
        <v>162</v>
      </c>
      <c r="E11">
        <v>12</v>
      </c>
      <c r="F11">
        <v>0.61699999999999999</v>
      </c>
      <c r="G11">
        <f t="shared" si="0"/>
        <v>13.193928000000001</v>
      </c>
    </row>
    <row r="12" spans="2:7" x14ac:dyDescent="0.2">
      <c r="B12" s="31" t="s">
        <v>300</v>
      </c>
      <c r="C12">
        <v>10</v>
      </c>
      <c r="D12">
        <v>177</v>
      </c>
      <c r="E12">
        <v>8</v>
      </c>
      <c r="F12">
        <v>0.61699999999999999</v>
      </c>
      <c r="G12">
        <f t="shared" si="0"/>
        <v>9.6103920000000009</v>
      </c>
    </row>
    <row r="13" spans="2:7" x14ac:dyDescent="0.2">
      <c r="B13" s="31" t="s">
        <v>301</v>
      </c>
      <c r="C13" s="31" t="s">
        <v>59</v>
      </c>
      <c r="D13">
        <v>122</v>
      </c>
      <c r="E13">
        <v>40</v>
      </c>
      <c r="F13">
        <v>0.95399999999999996</v>
      </c>
      <c r="G13">
        <f t="shared" si="0"/>
        <v>51.210719999999995</v>
      </c>
    </row>
    <row r="14" spans="2:7" x14ac:dyDescent="0.2">
      <c r="B14" s="31" t="s">
        <v>302</v>
      </c>
      <c r="C14" s="31" t="s">
        <v>59</v>
      </c>
      <c r="D14">
        <v>314</v>
      </c>
      <c r="E14">
        <f>32+32</f>
        <v>64</v>
      </c>
      <c r="F14">
        <v>0.95399999999999996</v>
      </c>
      <c r="G14">
        <f t="shared" si="0"/>
        <v>210.88742400000001</v>
      </c>
    </row>
    <row r="15" spans="2:7" x14ac:dyDescent="0.2">
      <c r="B15" s="31" t="s">
        <v>303</v>
      </c>
      <c r="C15" s="31" t="s">
        <v>59</v>
      </c>
      <c r="D15">
        <v>122</v>
      </c>
      <c r="E15">
        <v>32</v>
      </c>
      <c r="F15">
        <v>0.95399999999999996</v>
      </c>
      <c r="G15">
        <f t="shared" si="0"/>
        <v>40.968575999999999</v>
      </c>
    </row>
    <row r="16" spans="2:7" x14ac:dyDescent="0.2">
      <c r="B16" s="31" t="s">
        <v>304</v>
      </c>
      <c r="C16" s="31" t="s">
        <v>59</v>
      </c>
      <c r="D16">
        <v>269</v>
      </c>
      <c r="E16">
        <v>8</v>
      </c>
      <c r="F16">
        <v>0.95399999999999996</v>
      </c>
      <c r="G16">
        <f t="shared" si="0"/>
        <v>22.583088</v>
      </c>
    </row>
    <row r="19" spans="2:7" x14ac:dyDescent="0.2">
      <c r="B19" s="31" t="s">
        <v>292</v>
      </c>
      <c r="C19">
        <v>5</v>
      </c>
      <c r="D19">
        <v>25</v>
      </c>
      <c r="E19">
        <f>2*(4+18*4+8)+8+36+18+18*2+2*3*4+2*3*18+2*2*18+18*2+18*2+2*3*4+6*18+4*18+18*2+18*2+16</f>
        <v>834</v>
      </c>
      <c r="F19">
        <v>0.154</v>
      </c>
      <c r="G19">
        <f>F19*E19*D19/100*1.1</f>
        <v>35.319900000000004</v>
      </c>
    </row>
    <row r="20" spans="2:7" x14ac:dyDescent="0.2">
      <c r="B20" s="31" t="s">
        <v>293</v>
      </c>
      <c r="C20">
        <v>5</v>
      </c>
      <c r="D20">
        <v>101</v>
      </c>
      <c r="E20">
        <f>2*(4+18*4+8)+4+18*14+8+16+12</f>
        <v>460</v>
      </c>
      <c r="F20">
        <v>0.154</v>
      </c>
      <c r="G20">
        <f t="shared" ref="G20:G31" si="1">F20*E20*D20/100*1.1</f>
        <v>78.703240000000008</v>
      </c>
    </row>
    <row r="21" spans="2:7" x14ac:dyDescent="0.2">
      <c r="B21" s="31" t="s">
        <v>294</v>
      </c>
      <c r="C21">
        <v>5</v>
      </c>
      <c r="D21">
        <v>121</v>
      </c>
      <c r="E21">
        <f>8+18*2+18*2*2</f>
        <v>116</v>
      </c>
      <c r="F21">
        <v>0.154</v>
      </c>
      <c r="G21">
        <f t="shared" si="1"/>
        <v>23.776984000000002</v>
      </c>
    </row>
    <row r="22" spans="2:7" x14ac:dyDescent="0.2">
      <c r="B22" s="31" t="s">
        <v>295</v>
      </c>
      <c r="C22">
        <v>10</v>
      </c>
      <c r="D22">
        <v>122</v>
      </c>
      <c r="E22">
        <v>12</v>
      </c>
      <c r="F22">
        <v>0.61699999999999999</v>
      </c>
      <c r="G22">
        <f t="shared" si="1"/>
        <v>9.9361680000000021</v>
      </c>
    </row>
    <row r="23" spans="2:7" x14ac:dyDescent="0.2">
      <c r="B23" s="31" t="s">
        <v>296</v>
      </c>
      <c r="C23">
        <v>10</v>
      </c>
      <c r="D23">
        <v>314</v>
      </c>
      <c r="E23">
        <f>12*8+8</f>
        <v>104</v>
      </c>
      <c r="F23">
        <v>0.61699999999999999</v>
      </c>
      <c r="G23">
        <f t="shared" si="1"/>
        <v>221.63627200000005</v>
      </c>
    </row>
    <row r="24" spans="2:7" x14ac:dyDescent="0.2">
      <c r="B24" s="31" t="s">
        <v>297</v>
      </c>
      <c r="C24">
        <v>10</v>
      </c>
      <c r="D24">
        <v>269</v>
      </c>
      <c r="E24">
        <f>6+8+12</f>
        <v>26</v>
      </c>
      <c r="F24">
        <v>0.61699999999999999</v>
      </c>
      <c r="G24">
        <f t="shared" si="1"/>
        <v>47.468278000000012</v>
      </c>
    </row>
    <row r="25" spans="2:7" x14ac:dyDescent="0.2">
      <c r="B25" s="31" t="s">
        <v>298</v>
      </c>
      <c r="C25">
        <v>10</v>
      </c>
      <c r="D25">
        <v>117</v>
      </c>
      <c r="E25">
        <v>12</v>
      </c>
      <c r="F25">
        <v>0.61699999999999999</v>
      </c>
      <c r="G25">
        <f t="shared" si="1"/>
        <v>9.5289480000000015</v>
      </c>
    </row>
    <row r="26" spans="2:7" x14ac:dyDescent="0.2">
      <c r="B26" s="31" t="s">
        <v>299</v>
      </c>
      <c r="C26">
        <v>10</v>
      </c>
      <c r="D26">
        <v>75</v>
      </c>
      <c r="E26">
        <v>12</v>
      </c>
      <c r="F26">
        <v>0.61699999999999999</v>
      </c>
      <c r="G26">
        <f t="shared" si="1"/>
        <v>6.1083000000000007</v>
      </c>
    </row>
    <row r="27" spans="2:7" x14ac:dyDescent="0.2">
      <c r="B27" s="31" t="s">
        <v>300</v>
      </c>
      <c r="C27">
        <v>10</v>
      </c>
      <c r="D27">
        <v>162</v>
      </c>
      <c r="E27">
        <v>12</v>
      </c>
      <c r="F27">
        <v>0.61699999999999999</v>
      </c>
      <c r="G27">
        <f t="shared" si="1"/>
        <v>13.193928000000001</v>
      </c>
    </row>
    <row r="28" spans="2:7" x14ac:dyDescent="0.2">
      <c r="B28" s="31" t="s">
        <v>301</v>
      </c>
      <c r="C28">
        <v>10</v>
      </c>
      <c r="D28">
        <v>177</v>
      </c>
      <c r="E28">
        <v>8</v>
      </c>
      <c r="F28">
        <v>0.61699999999999999</v>
      </c>
      <c r="G28">
        <f t="shared" si="1"/>
        <v>9.6103920000000009</v>
      </c>
    </row>
    <row r="29" spans="2:7" x14ac:dyDescent="0.2">
      <c r="B29" s="31" t="s">
        <v>302</v>
      </c>
      <c r="C29">
        <v>12.5</v>
      </c>
      <c r="D29">
        <v>122</v>
      </c>
      <c r="E29">
        <f>8+20+20</f>
        <v>48</v>
      </c>
      <c r="F29">
        <v>0.95399999999999996</v>
      </c>
      <c r="G29">
        <f t="shared" si="1"/>
        <v>61.452864000000005</v>
      </c>
    </row>
    <row r="30" spans="2:7" x14ac:dyDescent="0.2">
      <c r="B30" s="31" t="s">
        <v>303</v>
      </c>
      <c r="C30">
        <v>12.5</v>
      </c>
      <c r="D30">
        <v>314</v>
      </c>
      <c r="E30">
        <f>4+16+20+8</f>
        <v>48</v>
      </c>
      <c r="F30">
        <v>0.95399999999999996</v>
      </c>
      <c r="G30">
        <f t="shared" si="1"/>
        <v>158.16556800000001</v>
      </c>
    </row>
    <row r="31" spans="2:7" x14ac:dyDescent="0.2">
      <c r="B31" s="31" t="s">
        <v>304</v>
      </c>
      <c r="C31">
        <v>12.5</v>
      </c>
      <c r="D31">
        <v>269</v>
      </c>
      <c r="E31">
        <f>4*4+8</f>
        <v>24</v>
      </c>
      <c r="F31">
        <v>0.95399999999999996</v>
      </c>
      <c r="G31">
        <f t="shared" si="1"/>
        <v>67.749264000000011</v>
      </c>
    </row>
    <row r="32" spans="2:7" x14ac:dyDescent="0.2">
      <c r="G32">
        <f>SUM(G4:G31)</f>
        <v>2546.8324860000002</v>
      </c>
    </row>
    <row r="35" spans="2:6" x14ac:dyDescent="0.2">
      <c r="B35" s="31" t="s">
        <v>305</v>
      </c>
      <c r="C35">
        <f>0.15*2+0.4*2</f>
        <v>1.1000000000000001</v>
      </c>
      <c r="D35">
        <v>10.88</v>
      </c>
      <c r="E35">
        <f>8+4+3+3</f>
        <v>18</v>
      </c>
      <c r="F35">
        <f>E35*D35*C35</f>
        <v>215.42400000000004</v>
      </c>
    </row>
    <row r="36" spans="2:6" x14ac:dyDescent="0.2">
      <c r="C36">
        <f>0.15*2+0.4*2</f>
        <v>1.1000000000000001</v>
      </c>
      <c r="D36">
        <v>13.88</v>
      </c>
      <c r="E36">
        <v>2</v>
      </c>
      <c r="F36">
        <f t="shared" ref="F36:F41" si="2">E36*D36*C36</f>
        <v>30.536000000000005</v>
      </c>
    </row>
    <row r="37" spans="2:6" x14ac:dyDescent="0.2">
      <c r="C37">
        <f>0.15*2+0.4*2</f>
        <v>1.1000000000000001</v>
      </c>
      <c r="D37">
        <v>12.08</v>
      </c>
      <c r="E37">
        <v>2</v>
      </c>
      <c r="F37">
        <f t="shared" si="2"/>
        <v>26.576000000000004</v>
      </c>
    </row>
    <row r="38" spans="2:6" x14ac:dyDescent="0.2">
      <c r="C38">
        <f>0.15*2+0.5*2</f>
        <v>1.3</v>
      </c>
      <c r="D38">
        <v>5.44</v>
      </c>
      <c r="E38">
        <v>4</v>
      </c>
      <c r="F38">
        <f t="shared" si="2"/>
        <v>28.288000000000004</v>
      </c>
    </row>
    <row r="39" spans="2:6" x14ac:dyDescent="0.2">
      <c r="C39">
        <f>0.15*2+0.4*2</f>
        <v>1.1000000000000001</v>
      </c>
      <c r="D39">
        <f>(10.88-5.44)</f>
        <v>5.44</v>
      </c>
      <c r="E39">
        <v>4</v>
      </c>
      <c r="F39">
        <f t="shared" si="2"/>
        <v>23.936000000000003</v>
      </c>
    </row>
    <row r="40" spans="2:6" x14ac:dyDescent="0.2">
      <c r="C40">
        <f>0.15*2+0.5*2</f>
        <v>1.3</v>
      </c>
      <c r="D40">
        <v>8.16</v>
      </c>
      <c r="E40">
        <v>2</v>
      </c>
      <c r="F40">
        <f t="shared" si="2"/>
        <v>21.216000000000001</v>
      </c>
    </row>
    <row r="41" spans="2:6" x14ac:dyDescent="0.2">
      <c r="C41">
        <f>0.15*2+0.4*2</f>
        <v>1.1000000000000001</v>
      </c>
      <c r="D41">
        <f>13.88-8.16</f>
        <v>5.7200000000000006</v>
      </c>
      <c r="E41">
        <v>2</v>
      </c>
      <c r="F41">
        <f t="shared" si="2"/>
        <v>12.584000000000003</v>
      </c>
    </row>
    <row r="42" spans="2:6" x14ac:dyDescent="0.2">
      <c r="F42">
        <f>SUM(F35:F41)</f>
        <v>358.56000000000006</v>
      </c>
    </row>
    <row r="44" spans="2:6" x14ac:dyDescent="0.2">
      <c r="B44" s="31" t="s">
        <v>306</v>
      </c>
      <c r="C44">
        <f>0.15*0.4</f>
        <v>0.06</v>
      </c>
      <c r="D44">
        <v>10.88</v>
      </c>
      <c r="E44">
        <f>8+4+3+3</f>
        <v>18</v>
      </c>
      <c r="F44">
        <f>E44*D44*C44</f>
        <v>11.750399999999999</v>
      </c>
    </row>
    <row r="45" spans="2:6" x14ac:dyDescent="0.2">
      <c r="C45">
        <f>0.15*0.4</f>
        <v>0.06</v>
      </c>
      <c r="D45">
        <v>13.88</v>
      </c>
      <c r="E45">
        <v>2</v>
      </c>
      <c r="F45">
        <f t="shared" ref="F45:F50" si="3">E45*D45*C45</f>
        <v>1.6656</v>
      </c>
    </row>
    <row r="46" spans="2:6" x14ac:dyDescent="0.2">
      <c r="C46">
        <f>0.15*0.4</f>
        <v>0.06</v>
      </c>
      <c r="D46">
        <v>12.08</v>
      </c>
      <c r="E46">
        <v>2</v>
      </c>
      <c r="F46">
        <f t="shared" si="3"/>
        <v>1.4496</v>
      </c>
    </row>
    <row r="47" spans="2:6" x14ac:dyDescent="0.2">
      <c r="C47">
        <f>0.15*0.5</f>
        <v>7.4999999999999997E-2</v>
      </c>
      <c r="D47">
        <v>5.44</v>
      </c>
      <c r="E47">
        <v>4</v>
      </c>
      <c r="F47">
        <f t="shared" si="3"/>
        <v>1.6320000000000001</v>
      </c>
    </row>
    <row r="48" spans="2:6" x14ac:dyDescent="0.2">
      <c r="C48">
        <f>0.15*0.4</f>
        <v>0.06</v>
      </c>
      <c r="D48">
        <f>(10.88-5.44)</f>
        <v>5.44</v>
      </c>
      <c r="E48">
        <v>4</v>
      </c>
      <c r="F48">
        <f t="shared" si="3"/>
        <v>1.3056000000000001</v>
      </c>
    </row>
    <row r="49" spans="3:6" x14ac:dyDescent="0.2">
      <c r="C49">
        <f>0.15*0.5</f>
        <v>7.4999999999999997E-2</v>
      </c>
      <c r="D49">
        <v>8.16</v>
      </c>
      <c r="E49">
        <v>2</v>
      </c>
      <c r="F49">
        <f t="shared" si="3"/>
        <v>1.224</v>
      </c>
    </row>
    <row r="50" spans="3:6" x14ac:dyDescent="0.2">
      <c r="C50">
        <f>0.15*0.4</f>
        <v>0.06</v>
      </c>
      <c r="D50">
        <f>13.88-8.16</f>
        <v>5.7200000000000006</v>
      </c>
      <c r="E50">
        <v>2</v>
      </c>
      <c r="F50">
        <f t="shared" si="3"/>
        <v>0.68640000000000001</v>
      </c>
    </row>
    <row r="51" spans="3:6" x14ac:dyDescent="0.2">
      <c r="F51">
        <f>ROUND(SUM(F44:F50),2)</f>
        <v>19.71</v>
      </c>
    </row>
  </sheetData>
  <phoneticPr fontId="11" type="noConversion"/>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4"/>
  <sheetViews>
    <sheetView view="pageBreakPreview" zoomScaleNormal="100" zoomScaleSheetLayoutView="100" workbookViewId="0">
      <selection activeCell="D45" sqref="D45:D46"/>
    </sheetView>
  </sheetViews>
  <sheetFormatPr defaultColWidth="9" defaultRowHeight="15" customHeight="1" x14ac:dyDescent="0.2"/>
  <cols>
    <col min="1" max="1" width="11.42578125" customWidth="1"/>
    <col min="2" max="3" width="13.7109375" customWidth="1"/>
    <col min="4" max="4" width="99.7109375" customWidth="1"/>
    <col min="5" max="5" width="13.42578125" customWidth="1"/>
    <col min="6" max="8" width="14.7109375" customWidth="1"/>
    <col min="9" max="18" width="8" customWidth="1"/>
    <col min="19" max="248" width="12" customWidth="1"/>
  </cols>
  <sheetData>
    <row r="1" spans="1:8" ht="16.5" customHeight="1" x14ac:dyDescent="0.2">
      <c r="A1" s="447" t="s">
        <v>161</v>
      </c>
      <c r="B1" s="448"/>
      <c r="C1" s="448"/>
      <c r="D1" s="448"/>
      <c r="E1" s="448"/>
      <c r="F1" s="448"/>
      <c r="G1" s="448"/>
      <c r="H1" s="449"/>
    </row>
    <row r="2" spans="1:8" ht="16.5" customHeight="1" x14ac:dyDescent="0.2">
      <c r="A2" s="450"/>
      <c r="B2" s="451"/>
      <c r="C2" s="451"/>
      <c r="D2" s="451"/>
      <c r="E2" s="451"/>
      <c r="F2" s="451"/>
      <c r="G2" s="451"/>
      <c r="H2" s="452"/>
    </row>
    <row r="3" spans="1:8" ht="16.5" customHeight="1" x14ac:dyDescent="0.2">
      <c r="A3" s="453"/>
      <c r="B3" s="454"/>
      <c r="C3" s="454"/>
      <c r="D3" s="454"/>
      <c r="E3" s="454"/>
      <c r="F3" s="454"/>
      <c r="G3" s="454"/>
      <c r="H3" s="455"/>
    </row>
    <row r="4" spans="1:8" ht="20.100000000000001" customHeight="1" x14ac:dyDescent="0.2">
      <c r="A4" s="456" t="s">
        <v>0</v>
      </c>
      <c r="B4" s="439"/>
      <c r="C4" s="439"/>
      <c r="D4" s="439"/>
      <c r="E4" s="439"/>
      <c r="F4" s="439"/>
      <c r="G4" s="439"/>
      <c r="H4" s="440"/>
    </row>
    <row r="5" spans="1:8" ht="20.100000000000001" customHeight="1" x14ac:dyDescent="0.2">
      <c r="A5" s="457" t="s">
        <v>162</v>
      </c>
      <c r="B5" s="448"/>
      <c r="C5" s="448"/>
      <c r="D5" s="448"/>
      <c r="E5" s="448"/>
      <c r="F5" s="448"/>
      <c r="G5" s="448"/>
      <c r="H5" s="449"/>
    </row>
    <row r="6" spans="1:8" ht="18.75" customHeight="1" x14ac:dyDescent="0.2">
      <c r="A6" s="460" t="str">
        <f>'Planilha orçamentária'!A6:B7</f>
        <v>Objeto:</v>
      </c>
      <c r="B6" s="461" t="s">
        <v>355</v>
      </c>
      <c r="C6" s="461"/>
      <c r="D6" s="461"/>
      <c r="E6" s="461"/>
      <c r="F6" s="391" t="s">
        <v>3</v>
      </c>
      <c r="G6" s="462">
        <f>'Planilha orçamentária'!H6:H7</f>
        <v>0.28082487245334908</v>
      </c>
      <c r="H6" s="459">
        <f ca="1">TODAY()</f>
        <v>45075</v>
      </c>
    </row>
    <row r="7" spans="1:8" ht="18.75" customHeight="1" x14ac:dyDescent="0.2">
      <c r="A7" s="460"/>
      <c r="B7" s="461"/>
      <c r="C7" s="461"/>
      <c r="D7" s="461"/>
      <c r="E7" s="461"/>
      <c r="F7" s="391"/>
      <c r="G7" s="387"/>
      <c r="H7" s="387"/>
    </row>
    <row r="8" spans="1:8" ht="18.75" customHeight="1" x14ac:dyDescent="0.2">
      <c r="A8" s="458" t="s">
        <v>163</v>
      </c>
      <c r="B8" s="454"/>
      <c r="C8" s="454"/>
      <c r="D8" s="454"/>
      <c r="E8" s="454"/>
      <c r="F8" s="454"/>
      <c r="G8" s="454"/>
      <c r="H8" s="455"/>
    </row>
    <row r="9" spans="1:8" ht="16.5" customHeight="1" x14ac:dyDescent="0.2">
      <c r="A9" s="3">
        <f>'Planilha orçamentária'!A142</f>
        <v>17</v>
      </c>
      <c r="B9" s="443" t="str">
        <f>'Planilha orçamentária'!D142</f>
        <v>PLACA DE SINALIZAÇÃO DE EMERGÊNCIA</v>
      </c>
      <c r="C9" s="439"/>
      <c r="D9" s="439"/>
      <c r="E9" s="439"/>
      <c r="F9" s="439"/>
      <c r="G9" s="439"/>
      <c r="H9" s="440"/>
    </row>
    <row r="10" spans="1:8" ht="18.75" customHeight="1" x14ac:dyDescent="0.2">
      <c r="A10" s="11" t="s">
        <v>100</v>
      </c>
      <c r="B10" s="444" t="str">
        <f>'Planilha orçamentária'!D144</f>
        <v>Placa fotoluminescente "S8" - 380 x 190 mm (saída rampa esquerda)</v>
      </c>
      <c r="C10" s="445"/>
      <c r="D10" s="445"/>
      <c r="E10" s="445"/>
      <c r="F10" s="446"/>
      <c r="G10" s="12" t="s">
        <v>52</v>
      </c>
      <c r="H10" s="13">
        <f>H15</f>
        <v>23.814999999999998</v>
      </c>
    </row>
    <row r="11" spans="1:8" ht="18.75" customHeight="1" x14ac:dyDescent="0.2">
      <c r="A11" s="442" t="s">
        <v>5</v>
      </c>
      <c r="B11" s="442" t="s">
        <v>164</v>
      </c>
      <c r="C11" s="442" t="s">
        <v>165</v>
      </c>
      <c r="D11" s="442" t="s">
        <v>166</v>
      </c>
      <c r="E11" s="442" t="s">
        <v>141</v>
      </c>
      <c r="F11" s="442" t="s">
        <v>167</v>
      </c>
      <c r="G11" s="442" t="s">
        <v>168</v>
      </c>
      <c r="H11" s="436" t="s">
        <v>169</v>
      </c>
    </row>
    <row r="12" spans="1:8" ht="18.75" customHeight="1" x14ac:dyDescent="0.2">
      <c r="A12" s="437"/>
      <c r="B12" s="437"/>
      <c r="C12" s="437"/>
      <c r="D12" s="437"/>
      <c r="E12" s="437"/>
      <c r="F12" s="437"/>
      <c r="G12" s="437"/>
      <c r="H12" s="437"/>
    </row>
    <row r="13" spans="1:8" ht="16.5" customHeight="1" x14ac:dyDescent="0.2">
      <c r="A13" s="152" t="s">
        <v>635</v>
      </c>
      <c r="B13" s="2" t="s">
        <v>855</v>
      </c>
      <c r="C13" s="2" t="s">
        <v>226</v>
      </c>
      <c r="D13" s="4" t="s">
        <v>186</v>
      </c>
      <c r="E13" s="9" t="s">
        <v>20</v>
      </c>
      <c r="F13" s="14">
        <v>0.5</v>
      </c>
      <c r="G13" s="16">
        <v>24.43</v>
      </c>
      <c r="H13" s="15">
        <f>F13*G13</f>
        <v>12.215</v>
      </c>
    </row>
    <row r="14" spans="1:8" ht="16.5" customHeight="1" x14ac:dyDescent="0.2">
      <c r="A14" s="152" t="s">
        <v>636</v>
      </c>
      <c r="B14" s="8" t="s">
        <v>187</v>
      </c>
      <c r="C14" s="8" t="s">
        <v>187</v>
      </c>
      <c r="D14" s="4" t="str">
        <f>COTAÇÃO!A10</f>
        <v>Placa fotoluminescente "S8" - 380 x 190 mm (saída rampa esquerda)</v>
      </c>
      <c r="E14" s="152" t="s">
        <v>52</v>
      </c>
      <c r="F14" s="14">
        <v>1</v>
      </c>
      <c r="G14" s="16">
        <f>COTAÇÃO!H10</f>
        <v>11.6</v>
      </c>
      <c r="H14" s="15">
        <f>G14*F14</f>
        <v>11.6</v>
      </c>
    </row>
    <row r="15" spans="1:8" ht="16.5" customHeight="1" x14ac:dyDescent="0.2">
      <c r="A15" s="438" t="s">
        <v>172</v>
      </c>
      <c r="B15" s="439"/>
      <c r="C15" s="439"/>
      <c r="D15" s="439"/>
      <c r="E15" s="439"/>
      <c r="F15" s="439"/>
      <c r="G15" s="440"/>
      <c r="H15" s="13">
        <f>SUM(H13:H14)</f>
        <v>23.814999999999998</v>
      </c>
    </row>
    <row r="16" spans="1:8" ht="16.5" customHeight="1" x14ac:dyDescent="0.2">
      <c r="A16" s="11" t="s">
        <v>102</v>
      </c>
      <c r="B16" s="444" t="str">
        <f>'Planilha orçamentária'!D147</f>
        <v>Placa complementar, tipo M1, dimensões 400x600mm</v>
      </c>
      <c r="C16" s="445"/>
      <c r="D16" s="445"/>
      <c r="E16" s="445"/>
      <c r="F16" s="446"/>
      <c r="G16" s="12" t="s">
        <v>52</v>
      </c>
      <c r="H16" s="13">
        <f>H21</f>
        <v>36.215000000000003</v>
      </c>
    </row>
    <row r="17" spans="1:8" ht="18.75" customHeight="1" x14ac:dyDescent="0.2">
      <c r="A17" s="442" t="s">
        <v>5</v>
      </c>
      <c r="B17" s="442" t="s">
        <v>164</v>
      </c>
      <c r="C17" s="442" t="s">
        <v>165</v>
      </c>
      <c r="D17" s="442" t="s">
        <v>166</v>
      </c>
      <c r="E17" s="442" t="s">
        <v>141</v>
      </c>
      <c r="F17" s="442" t="s">
        <v>167</v>
      </c>
      <c r="G17" s="442" t="s">
        <v>168</v>
      </c>
      <c r="H17" s="436" t="s">
        <v>169</v>
      </c>
    </row>
    <row r="18" spans="1:8" ht="18.75" customHeight="1" x14ac:dyDescent="0.2">
      <c r="A18" s="437"/>
      <c r="B18" s="437"/>
      <c r="C18" s="437"/>
      <c r="D18" s="437"/>
      <c r="E18" s="437"/>
      <c r="F18" s="437"/>
      <c r="G18" s="437"/>
      <c r="H18" s="437"/>
    </row>
    <row r="19" spans="1:8" ht="16.5" customHeight="1" x14ac:dyDescent="0.2">
      <c r="A19" s="152" t="s">
        <v>174</v>
      </c>
      <c r="B19" s="2" t="s">
        <v>855</v>
      </c>
      <c r="C19" s="2" t="s">
        <v>226</v>
      </c>
      <c r="D19" s="4" t="s">
        <v>186</v>
      </c>
      <c r="E19" s="9" t="s">
        <v>20</v>
      </c>
      <c r="F19" s="14">
        <v>0.5</v>
      </c>
      <c r="G19" s="16">
        <v>24.43</v>
      </c>
      <c r="H19" s="15">
        <f>F19*G19</f>
        <v>12.215</v>
      </c>
    </row>
    <row r="20" spans="1:8" ht="16.5" customHeight="1" x14ac:dyDescent="0.2">
      <c r="A20" s="152" t="s">
        <v>175</v>
      </c>
      <c r="B20" s="8" t="s">
        <v>187</v>
      </c>
      <c r="C20" s="8" t="s">
        <v>187</v>
      </c>
      <c r="D20" s="4" t="str">
        <f>COTAÇÃO!A17</f>
        <v>Placa complementar, tipo M1, dimensões 400x600mm</v>
      </c>
      <c r="E20" s="152" t="s">
        <v>52</v>
      </c>
      <c r="F20" s="14">
        <v>1</v>
      </c>
      <c r="G20" s="16">
        <f>COTAÇÃO!H17</f>
        <v>24</v>
      </c>
      <c r="H20" s="15">
        <f>G20*F20</f>
        <v>24</v>
      </c>
    </row>
    <row r="21" spans="1:8" ht="16.5" customHeight="1" x14ac:dyDescent="0.2">
      <c r="A21" s="438" t="s">
        <v>172</v>
      </c>
      <c r="B21" s="439"/>
      <c r="C21" s="439"/>
      <c r="D21" s="439"/>
      <c r="E21" s="439"/>
      <c r="F21" s="439"/>
      <c r="G21" s="440"/>
      <c r="H21" s="13">
        <f>SUM(H19:H20)</f>
        <v>36.215000000000003</v>
      </c>
    </row>
    <row r="22" spans="1:8" ht="16.5" customHeight="1" x14ac:dyDescent="0.2">
      <c r="A22" s="3">
        <f>'Planilha orçamentária'!A149</f>
        <v>18</v>
      </c>
      <c r="B22" s="443" t="str">
        <f>'Planilha orçamentária'!D149</f>
        <v>SPDA</v>
      </c>
      <c r="C22" s="439"/>
      <c r="D22" s="439"/>
      <c r="E22" s="439"/>
      <c r="F22" s="439"/>
      <c r="G22" s="439"/>
      <c r="H22" s="440"/>
    </row>
    <row r="23" spans="1:8" ht="16.5" customHeight="1" x14ac:dyDescent="0.2">
      <c r="A23" s="11" t="s">
        <v>104</v>
      </c>
      <c r="B23" s="441" t="str">
        <f>'Planilha orçamentária'!D159</f>
        <v xml:space="preserve">Minicaptor em latão sextavado com conector e rosca soberba h=250 x dn 10mm </v>
      </c>
      <c r="C23" s="439"/>
      <c r="D23" s="439"/>
      <c r="E23" s="439"/>
      <c r="F23" s="440"/>
      <c r="G23" s="12" t="s">
        <v>52</v>
      </c>
      <c r="H23" s="13">
        <f>H29</f>
        <v>38.08</v>
      </c>
    </row>
    <row r="24" spans="1:8" ht="18.75" customHeight="1" x14ac:dyDescent="0.2">
      <c r="A24" s="442" t="s">
        <v>5</v>
      </c>
      <c r="B24" s="442" t="s">
        <v>164</v>
      </c>
      <c r="C24" s="442" t="s">
        <v>165</v>
      </c>
      <c r="D24" s="442" t="s">
        <v>166</v>
      </c>
      <c r="E24" s="442" t="s">
        <v>141</v>
      </c>
      <c r="F24" s="442" t="s">
        <v>167</v>
      </c>
      <c r="G24" s="442" t="s">
        <v>168</v>
      </c>
      <c r="H24" s="436" t="s">
        <v>169</v>
      </c>
    </row>
    <row r="25" spans="1:8" ht="18.75" customHeight="1" x14ac:dyDescent="0.2">
      <c r="A25" s="437"/>
      <c r="B25" s="437"/>
      <c r="C25" s="437"/>
      <c r="D25" s="437"/>
      <c r="E25" s="437"/>
      <c r="F25" s="437"/>
      <c r="G25" s="437"/>
      <c r="H25" s="437"/>
    </row>
    <row r="26" spans="1:8" ht="16.5" customHeight="1" x14ac:dyDescent="0.2">
      <c r="A26" s="152" t="s">
        <v>177</v>
      </c>
      <c r="B26" s="8" t="s">
        <v>187</v>
      </c>
      <c r="C26" s="8" t="s">
        <v>187</v>
      </c>
      <c r="D26" s="160" t="str">
        <f>COTAÇÃO!A24</f>
        <v xml:space="preserve">Minicaptor em latão sextavado com conector e rosca soberba h=250 x dn 10mm </v>
      </c>
      <c r="E26" s="152" t="s">
        <v>52</v>
      </c>
      <c r="F26" s="14">
        <v>1</v>
      </c>
      <c r="G26" s="15">
        <f>COTAÇÃO!H24</f>
        <v>15.7</v>
      </c>
      <c r="H26" s="15">
        <f>F26*G26</f>
        <v>15.7</v>
      </c>
    </row>
    <row r="27" spans="1:8" ht="16.5" customHeight="1" x14ac:dyDescent="0.2">
      <c r="A27" s="152" t="s">
        <v>178</v>
      </c>
      <c r="B27" s="2" t="s">
        <v>857</v>
      </c>
      <c r="C27" s="2" t="s">
        <v>857</v>
      </c>
      <c r="D27" s="4" t="s">
        <v>170</v>
      </c>
      <c r="E27" s="9" t="s">
        <v>20</v>
      </c>
      <c r="F27" s="14">
        <v>0.5</v>
      </c>
      <c r="G27" s="15">
        <v>24.74</v>
      </c>
      <c r="H27" s="15">
        <f>F27*G27</f>
        <v>12.37</v>
      </c>
    </row>
    <row r="28" spans="1:8" ht="16.5" customHeight="1" x14ac:dyDescent="0.2">
      <c r="A28" s="152" t="s">
        <v>179</v>
      </c>
      <c r="B28" s="2" t="s">
        <v>856</v>
      </c>
      <c r="C28" s="2" t="s">
        <v>856</v>
      </c>
      <c r="D28" s="4" t="s">
        <v>171</v>
      </c>
      <c r="E28" s="9" t="s">
        <v>20</v>
      </c>
      <c r="F28" s="14">
        <v>0.5</v>
      </c>
      <c r="G28" s="15">
        <v>20.02</v>
      </c>
      <c r="H28" s="15">
        <f>F28*G28</f>
        <v>10.01</v>
      </c>
    </row>
    <row r="29" spans="1:8" ht="16.5" customHeight="1" x14ac:dyDescent="0.2">
      <c r="A29" s="438" t="s">
        <v>172</v>
      </c>
      <c r="B29" s="439"/>
      <c r="C29" s="439"/>
      <c r="D29" s="439"/>
      <c r="E29" s="439"/>
      <c r="F29" s="439"/>
      <c r="G29" s="440"/>
      <c r="H29" s="13">
        <f>SUM(H26:H28)</f>
        <v>38.08</v>
      </c>
    </row>
    <row r="30" spans="1:8" ht="18.75" customHeight="1" x14ac:dyDescent="0.2">
      <c r="A30" s="11" t="s">
        <v>105</v>
      </c>
      <c r="B30" s="441" t="str">
        <f>'Planilha orçamentária'!D160</f>
        <v xml:space="preserve">Conector mini-gar ref.: tel-583  </v>
      </c>
      <c r="C30" s="439"/>
      <c r="D30" s="439"/>
      <c r="E30" s="439"/>
      <c r="F30" s="440"/>
      <c r="G30" s="12" t="s">
        <v>52</v>
      </c>
      <c r="H30" s="13">
        <f>H36</f>
        <v>82.33</v>
      </c>
    </row>
    <row r="31" spans="1:8" ht="18.75" customHeight="1" x14ac:dyDescent="0.2">
      <c r="A31" s="442" t="s">
        <v>5</v>
      </c>
      <c r="B31" s="442" t="s">
        <v>164</v>
      </c>
      <c r="C31" s="442" t="s">
        <v>165</v>
      </c>
      <c r="D31" s="442" t="s">
        <v>166</v>
      </c>
      <c r="E31" s="442" t="s">
        <v>141</v>
      </c>
      <c r="F31" s="442" t="s">
        <v>167</v>
      </c>
      <c r="G31" s="442" t="s">
        <v>168</v>
      </c>
      <c r="H31" s="436" t="s">
        <v>169</v>
      </c>
    </row>
    <row r="32" spans="1:8" ht="18.75" customHeight="1" x14ac:dyDescent="0.2">
      <c r="A32" s="437"/>
      <c r="B32" s="437"/>
      <c r="C32" s="437"/>
      <c r="D32" s="437"/>
      <c r="E32" s="437"/>
      <c r="F32" s="437"/>
      <c r="G32" s="437"/>
      <c r="H32" s="437"/>
    </row>
    <row r="33" spans="1:8" ht="16.5" customHeight="1" x14ac:dyDescent="0.2">
      <c r="A33" s="152" t="s">
        <v>180</v>
      </c>
      <c r="B33" s="8" t="s">
        <v>187</v>
      </c>
      <c r="C33" s="8" t="s">
        <v>187</v>
      </c>
      <c r="D33" s="161" t="str">
        <f>COTAÇÃO!A31</f>
        <v xml:space="preserve">Conector mini-gar ref.: tel-583  </v>
      </c>
      <c r="E33" s="9" t="s">
        <v>52</v>
      </c>
      <c r="F33" s="14">
        <v>1</v>
      </c>
      <c r="G33" s="15">
        <f>COTAÇÃO!H31</f>
        <v>37.57</v>
      </c>
      <c r="H33" s="15">
        <f>F33*G33</f>
        <v>37.57</v>
      </c>
    </row>
    <row r="34" spans="1:8" ht="16.5" customHeight="1" x14ac:dyDescent="0.2">
      <c r="A34" s="152" t="s">
        <v>181</v>
      </c>
      <c r="B34" s="2" t="s">
        <v>857</v>
      </c>
      <c r="C34" s="2" t="s">
        <v>857</v>
      </c>
      <c r="D34" s="4" t="s">
        <v>170</v>
      </c>
      <c r="E34" s="9" t="s">
        <v>20</v>
      </c>
      <c r="F34" s="14">
        <v>1</v>
      </c>
      <c r="G34" s="15">
        <v>24.74</v>
      </c>
      <c r="H34" s="15">
        <f>F34*G34</f>
        <v>24.74</v>
      </c>
    </row>
    <row r="35" spans="1:8" ht="16.5" customHeight="1" x14ac:dyDescent="0.2">
      <c r="A35" s="152" t="s">
        <v>182</v>
      </c>
      <c r="B35" s="2" t="s">
        <v>856</v>
      </c>
      <c r="C35" s="2" t="s">
        <v>856</v>
      </c>
      <c r="D35" s="4" t="s">
        <v>171</v>
      </c>
      <c r="E35" s="9" t="s">
        <v>20</v>
      </c>
      <c r="F35" s="14">
        <v>1</v>
      </c>
      <c r="G35" s="15">
        <v>20.02</v>
      </c>
      <c r="H35" s="15">
        <f>F35*G35</f>
        <v>20.02</v>
      </c>
    </row>
    <row r="36" spans="1:8" ht="16.5" customHeight="1" x14ac:dyDescent="0.2">
      <c r="A36" s="438" t="s">
        <v>172</v>
      </c>
      <c r="B36" s="439"/>
      <c r="C36" s="439"/>
      <c r="D36" s="439"/>
      <c r="E36" s="439"/>
      <c r="F36" s="439"/>
      <c r="G36" s="440"/>
      <c r="H36" s="13">
        <f>SUM(H33:H35)</f>
        <v>82.33</v>
      </c>
    </row>
    <row r="37" spans="1:8" ht="16.5" customHeight="1" x14ac:dyDescent="0.2">
      <c r="A37" s="11" t="s">
        <v>107</v>
      </c>
      <c r="B37" s="441" t="str">
        <f>'Planilha orçamentária'!D161</f>
        <v>Parafuso em aço inox 4,2x32mm ref.: tel-5333</v>
      </c>
      <c r="C37" s="439"/>
      <c r="D37" s="439"/>
      <c r="E37" s="439"/>
      <c r="F37" s="440"/>
      <c r="G37" s="12" t="s">
        <v>52</v>
      </c>
      <c r="H37" s="13">
        <f>H43</f>
        <v>19.773423999999999</v>
      </c>
    </row>
    <row r="38" spans="1:8" ht="18.75" customHeight="1" x14ac:dyDescent="0.2">
      <c r="A38" s="442" t="s">
        <v>5</v>
      </c>
      <c r="B38" s="442" t="s">
        <v>164</v>
      </c>
      <c r="C38" s="442" t="s">
        <v>165</v>
      </c>
      <c r="D38" s="442" t="s">
        <v>166</v>
      </c>
      <c r="E38" s="442" t="s">
        <v>141</v>
      </c>
      <c r="F38" s="442" t="s">
        <v>167</v>
      </c>
      <c r="G38" s="442" t="s">
        <v>168</v>
      </c>
      <c r="H38" s="436" t="s">
        <v>169</v>
      </c>
    </row>
    <row r="39" spans="1:8" ht="18.75" customHeight="1" x14ac:dyDescent="0.2">
      <c r="A39" s="437"/>
      <c r="B39" s="437"/>
      <c r="C39" s="437"/>
      <c r="D39" s="437"/>
      <c r="E39" s="437"/>
      <c r="F39" s="437"/>
      <c r="G39" s="437"/>
      <c r="H39" s="437"/>
    </row>
    <row r="40" spans="1:8" ht="16.5" customHeight="1" x14ac:dyDescent="0.2">
      <c r="A40" s="152" t="s">
        <v>183</v>
      </c>
      <c r="B40" s="8" t="s">
        <v>187</v>
      </c>
      <c r="C40" s="8" t="s">
        <v>187</v>
      </c>
      <c r="D40" s="161" t="str">
        <f>COTAÇÃO!A38</f>
        <v>Parafuso em aço inox 4,2x32mm ref.: tel-5333</v>
      </c>
      <c r="E40" s="9" t="s">
        <v>52</v>
      </c>
      <c r="F40" s="14">
        <v>1</v>
      </c>
      <c r="G40" s="15">
        <f>COTAÇÃO!H38</f>
        <v>0.28999999999999998</v>
      </c>
      <c r="H40" s="15">
        <f>F40*G40</f>
        <v>0.28999999999999998</v>
      </c>
    </row>
    <row r="41" spans="1:8" ht="16.5" customHeight="1" x14ac:dyDescent="0.2">
      <c r="A41" s="152" t="s">
        <v>184</v>
      </c>
      <c r="B41" s="2" t="s">
        <v>857</v>
      </c>
      <c r="C41" s="2" t="s">
        <v>857</v>
      </c>
      <c r="D41" s="4" t="s">
        <v>170</v>
      </c>
      <c r="E41" s="9" t="s">
        <v>20</v>
      </c>
      <c r="F41" s="14">
        <v>4.58E-2</v>
      </c>
      <c r="G41" s="15">
        <v>24.74</v>
      </c>
      <c r="H41" s="15">
        <f>F41*G41</f>
        <v>1.133092</v>
      </c>
    </row>
    <row r="42" spans="1:8" ht="16.5" customHeight="1" x14ac:dyDescent="0.2">
      <c r="A42" s="152" t="s">
        <v>185</v>
      </c>
      <c r="B42" s="2" t="s">
        <v>856</v>
      </c>
      <c r="C42" s="2" t="s">
        <v>856</v>
      </c>
      <c r="D42" s="4" t="s">
        <v>171</v>
      </c>
      <c r="E42" s="9" t="s">
        <v>20</v>
      </c>
      <c r="F42" s="14">
        <v>0.91659999999999997</v>
      </c>
      <c r="G42" s="15">
        <v>20.02</v>
      </c>
      <c r="H42" s="15">
        <f>F42*G42</f>
        <v>18.350331999999998</v>
      </c>
    </row>
    <row r="43" spans="1:8" ht="16.5" customHeight="1" x14ac:dyDescent="0.2">
      <c r="A43" s="438" t="s">
        <v>172</v>
      </c>
      <c r="B43" s="439"/>
      <c r="C43" s="439"/>
      <c r="D43" s="439"/>
      <c r="E43" s="439"/>
      <c r="F43" s="439"/>
      <c r="G43" s="440"/>
      <c r="H43" s="13">
        <f>SUM(H40:H42)</f>
        <v>19.773423999999999</v>
      </c>
    </row>
    <row r="44" spans="1:8" ht="16.5" customHeight="1" x14ac:dyDescent="0.2">
      <c r="A44" s="11" t="s">
        <v>108</v>
      </c>
      <c r="B44" s="441" t="str">
        <f>'Planilha orçamentária'!D162</f>
        <v>Bucha de nylon nº6</v>
      </c>
      <c r="C44" s="439"/>
      <c r="D44" s="439"/>
      <c r="E44" s="439"/>
      <c r="F44" s="440"/>
      <c r="G44" s="12" t="s">
        <v>52</v>
      </c>
      <c r="H44" s="13">
        <f>H50</f>
        <v>20.003423999999999</v>
      </c>
    </row>
    <row r="45" spans="1:8" ht="18.75" customHeight="1" x14ac:dyDescent="0.2">
      <c r="A45" s="442" t="s">
        <v>5</v>
      </c>
      <c r="B45" s="442" t="s">
        <v>164</v>
      </c>
      <c r="C45" s="442" t="s">
        <v>165</v>
      </c>
      <c r="D45" s="442" t="s">
        <v>166</v>
      </c>
      <c r="E45" s="442" t="s">
        <v>141</v>
      </c>
      <c r="F45" s="442" t="s">
        <v>167</v>
      </c>
      <c r="G45" s="442" t="s">
        <v>168</v>
      </c>
      <c r="H45" s="436" t="s">
        <v>169</v>
      </c>
    </row>
    <row r="46" spans="1:8" ht="18.75" customHeight="1" x14ac:dyDescent="0.2">
      <c r="A46" s="437"/>
      <c r="B46" s="437"/>
      <c r="C46" s="437"/>
      <c r="D46" s="437"/>
      <c r="E46" s="437"/>
      <c r="F46" s="437"/>
      <c r="G46" s="437"/>
      <c r="H46" s="437"/>
    </row>
    <row r="47" spans="1:8" ht="16.5" customHeight="1" x14ac:dyDescent="0.2">
      <c r="A47" s="152" t="s">
        <v>638</v>
      </c>
      <c r="B47" s="8" t="s">
        <v>187</v>
      </c>
      <c r="C47" s="8" t="s">
        <v>187</v>
      </c>
      <c r="D47" s="161" t="str">
        <f>COTAÇÃO!A45</f>
        <v>Bucha de nylon nº6</v>
      </c>
      <c r="E47" s="9" t="s">
        <v>52</v>
      </c>
      <c r="F47" s="14">
        <v>1</v>
      </c>
      <c r="G47" s="15">
        <f>COTAÇÃO!H45</f>
        <v>0.52</v>
      </c>
      <c r="H47" s="15">
        <f>F47*G47</f>
        <v>0.52</v>
      </c>
    </row>
    <row r="48" spans="1:8" ht="16.5" customHeight="1" x14ac:dyDescent="0.2">
      <c r="A48" s="152" t="s">
        <v>639</v>
      </c>
      <c r="B48" s="2" t="s">
        <v>857</v>
      </c>
      <c r="C48" s="2" t="s">
        <v>857</v>
      </c>
      <c r="D48" s="4" t="s">
        <v>170</v>
      </c>
      <c r="E48" s="9" t="s">
        <v>20</v>
      </c>
      <c r="F48" s="14">
        <v>4.58E-2</v>
      </c>
      <c r="G48" s="15">
        <v>24.74</v>
      </c>
      <c r="H48" s="15">
        <f>F48*G48</f>
        <v>1.133092</v>
      </c>
    </row>
    <row r="49" spans="1:8" ht="16.5" customHeight="1" x14ac:dyDescent="0.2">
      <c r="A49" s="152" t="s">
        <v>640</v>
      </c>
      <c r="B49" s="2" t="s">
        <v>856</v>
      </c>
      <c r="C49" s="2" t="s">
        <v>856</v>
      </c>
      <c r="D49" s="4" t="s">
        <v>171</v>
      </c>
      <c r="E49" s="9" t="s">
        <v>20</v>
      </c>
      <c r="F49" s="14">
        <v>0.91659999999999997</v>
      </c>
      <c r="G49" s="15">
        <v>20.02</v>
      </c>
      <c r="H49" s="15">
        <f>F49*G49</f>
        <v>18.350331999999998</v>
      </c>
    </row>
    <row r="50" spans="1:8" ht="16.5" customHeight="1" x14ac:dyDescent="0.2">
      <c r="A50" s="438" t="s">
        <v>172</v>
      </c>
      <c r="B50" s="439"/>
      <c r="C50" s="439"/>
      <c r="D50" s="439"/>
      <c r="E50" s="439"/>
      <c r="F50" s="439"/>
      <c r="G50" s="440"/>
      <c r="H50" s="13">
        <f>SUM(H47:H49)</f>
        <v>20.003423999999999</v>
      </c>
    </row>
    <row r="51" spans="1:8" ht="16.5" customHeight="1" x14ac:dyDescent="0.2">
      <c r="A51" s="11" t="s">
        <v>111</v>
      </c>
      <c r="B51" s="441" t="str">
        <f>'Planilha orçamentária'!D163</f>
        <v>Presilha para cabo de cobre 35mm²</v>
      </c>
      <c r="C51" s="439"/>
      <c r="D51" s="439"/>
      <c r="E51" s="439"/>
      <c r="F51" s="440"/>
      <c r="G51" s="12" t="s">
        <v>52</v>
      </c>
      <c r="H51" s="13">
        <f>H57</f>
        <v>20.443423999999997</v>
      </c>
    </row>
    <row r="52" spans="1:8" ht="18.75" customHeight="1" x14ac:dyDescent="0.2">
      <c r="A52" s="442" t="s">
        <v>5</v>
      </c>
      <c r="B52" s="442" t="s">
        <v>164</v>
      </c>
      <c r="C52" s="442" t="s">
        <v>165</v>
      </c>
      <c r="D52" s="442" t="s">
        <v>166</v>
      </c>
      <c r="E52" s="442" t="s">
        <v>141</v>
      </c>
      <c r="F52" s="442" t="s">
        <v>167</v>
      </c>
      <c r="G52" s="442" t="s">
        <v>168</v>
      </c>
      <c r="H52" s="436" t="s">
        <v>169</v>
      </c>
    </row>
    <row r="53" spans="1:8" ht="18.75" customHeight="1" x14ac:dyDescent="0.2">
      <c r="A53" s="437"/>
      <c r="B53" s="437"/>
      <c r="C53" s="437"/>
      <c r="D53" s="437"/>
      <c r="E53" s="437"/>
      <c r="F53" s="437"/>
      <c r="G53" s="437"/>
      <c r="H53" s="437"/>
    </row>
    <row r="54" spans="1:8" ht="16.5" customHeight="1" x14ac:dyDescent="0.2">
      <c r="A54" s="152" t="s">
        <v>641</v>
      </c>
      <c r="B54" s="8" t="s">
        <v>187</v>
      </c>
      <c r="C54" s="8" t="s">
        <v>187</v>
      </c>
      <c r="D54" s="161" t="str">
        <f>COTAÇÃO!A52</f>
        <v>Presilha para cabo de cobre 35mm²</v>
      </c>
      <c r="E54" s="9" t="s">
        <v>52</v>
      </c>
      <c r="F54" s="14">
        <v>1</v>
      </c>
      <c r="G54" s="15">
        <f>COTAÇÃO!H52</f>
        <v>0.96</v>
      </c>
      <c r="H54" s="15">
        <f>F54*G54</f>
        <v>0.96</v>
      </c>
    </row>
    <row r="55" spans="1:8" ht="16.5" customHeight="1" x14ac:dyDescent="0.2">
      <c r="A55" s="152" t="s">
        <v>642</v>
      </c>
      <c r="B55" s="2" t="s">
        <v>857</v>
      </c>
      <c r="C55" s="2" t="s">
        <v>857</v>
      </c>
      <c r="D55" s="4" t="s">
        <v>170</v>
      </c>
      <c r="E55" s="9" t="s">
        <v>20</v>
      </c>
      <c r="F55" s="14">
        <v>4.58E-2</v>
      </c>
      <c r="G55" s="15">
        <v>24.74</v>
      </c>
      <c r="H55" s="15">
        <f>F55*G55</f>
        <v>1.133092</v>
      </c>
    </row>
    <row r="56" spans="1:8" ht="16.5" customHeight="1" x14ac:dyDescent="0.2">
      <c r="A56" s="152" t="s">
        <v>643</v>
      </c>
      <c r="B56" s="2" t="s">
        <v>856</v>
      </c>
      <c r="C56" s="2" t="s">
        <v>856</v>
      </c>
      <c r="D56" s="4" t="s">
        <v>171</v>
      </c>
      <c r="E56" s="9" t="s">
        <v>20</v>
      </c>
      <c r="F56" s="14">
        <v>0.91659999999999997</v>
      </c>
      <c r="G56" s="15">
        <v>20.02</v>
      </c>
      <c r="H56" s="15">
        <f>F56*G56</f>
        <v>18.350331999999998</v>
      </c>
    </row>
    <row r="57" spans="1:8" ht="16.5" customHeight="1" x14ac:dyDescent="0.2">
      <c r="A57" s="438" t="s">
        <v>172</v>
      </c>
      <c r="B57" s="439"/>
      <c r="C57" s="439"/>
      <c r="D57" s="439"/>
      <c r="E57" s="439"/>
      <c r="F57" s="439"/>
      <c r="G57" s="440"/>
      <c r="H57" s="13">
        <f>SUM(H54:H56)</f>
        <v>20.443423999999997</v>
      </c>
    </row>
    <row r="58" spans="1:8" ht="16.5" customHeight="1" x14ac:dyDescent="0.2">
      <c r="A58" s="11" t="s">
        <v>112</v>
      </c>
      <c r="B58" s="441" t="str">
        <f>'Planilha orçamentária'!D164</f>
        <v>Fixador universal com parafuso autoperfurante sextavado para conexão de pilar metálico com estruturas metálicas do telhado. Tel-5024</v>
      </c>
      <c r="C58" s="439"/>
      <c r="D58" s="439"/>
      <c r="E58" s="439"/>
      <c r="F58" s="440"/>
      <c r="G58" s="12" t="s">
        <v>52</v>
      </c>
      <c r="H58" s="13">
        <f>H64</f>
        <v>59.94</v>
      </c>
    </row>
    <row r="59" spans="1:8" ht="18.75" customHeight="1" x14ac:dyDescent="0.2">
      <c r="A59" s="442" t="s">
        <v>5</v>
      </c>
      <c r="B59" s="442" t="s">
        <v>164</v>
      </c>
      <c r="C59" s="442" t="s">
        <v>165</v>
      </c>
      <c r="D59" s="442" t="s">
        <v>166</v>
      </c>
      <c r="E59" s="442" t="s">
        <v>141</v>
      </c>
      <c r="F59" s="442" t="s">
        <v>167</v>
      </c>
      <c r="G59" s="442" t="s">
        <v>168</v>
      </c>
      <c r="H59" s="436" t="s">
        <v>169</v>
      </c>
    </row>
    <row r="60" spans="1:8" ht="18.75" customHeight="1" x14ac:dyDescent="0.2">
      <c r="A60" s="437"/>
      <c r="B60" s="437"/>
      <c r="C60" s="437"/>
      <c r="D60" s="437"/>
      <c r="E60" s="437"/>
      <c r="F60" s="437"/>
      <c r="G60" s="437"/>
      <c r="H60" s="437"/>
    </row>
    <row r="61" spans="1:8" ht="25.5" customHeight="1" x14ac:dyDescent="0.2">
      <c r="A61" s="152" t="s">
        <v>644</v>
      </c>
      <c r="B61" s="8" t="s">
        <v>187</v>
      </c>
      <c r="C61" s="8" t="s">
        <v>187</v>
      </c>
      <c r="D61" s="161" t="str">
        <f>COTAÇÃO!A59</f>
        <v>Fixador universal com parafuso autoperfurante sextavado para conexão de pilar metálico com estruturas metálicas do telhado. Tel-5024</v>
      </c>
      <c r="E61" s="9" t="s">
        <v>52</v>
      </c>
      <c r="F61" s="14">
        <v>1</v>
      </c>
      <c r="G61" s="15">
        <f>COTAÇÃO!H59</f>
        <v>15.18</v>
      </c>
      <c r="H61" s="15">
        <f>F61*G61</f>
        <v>15.18</v>
      </c>
    </row>
    <row r="62" spans="1:8" ht="16.5" customHeight="1" x14ac:dyDescent="0.2">
      <c r="A62" s="152" t="s">
        <v>645</v>
      </c>
      <c r="B62" s="2" t="s">
        <v>857</v>
      </c>
      <c r="C62" s="2" t="s">
        <v>857</v>
      </c>
      <c r="D62" s="4" t="s">
        <v>170</v>
      </c>
      <c r="E62" s="9" t="s">
        <v>20</v>
      </c>
      <c r="F62" s="14">
        <v>1</v>
      </c>
      <c r="G62" s="15">
        <v>24.74</v>
      </c>
      <c r="H62" s="15">
        <f>F62*G62</f>
        <v>24.74</v>
      </c>
    </row>
    <row r="63" spans="1:8" ht="16.5" customHeight="1" x14ac:dyDescent="0.2">
      <c r="A63" s="152" t="s">
        <v>646</v>
      </c>
      <c r="B63" s="2" t="s">
        <v>856</v>
      </c>
      <c r="C63" s="2" t="s">
        <v>856</v>
      </c>
      <c r="D63" s="4" t="s">
        <v>171</v>
      </c>
      <c r="E63" s="9" t="s">
        <v>20</v>
      </c>
      <c r="F63" s="14">
        <v>1</v>
      </c>
      <c r="G63" s="15">
        <v>20.02</v>
      </c>
      <c r="H63" s="15">
        <f>F63*G63</f>
        <v>20.02</v>
      </c>
    </row>
    <row r="64" spans="1:8" ht="16.5" customHeight="1" x14ac:dyDescent="0.2">
      <c r="A64" s="438" t="s">
        <v>172</v>
      </c>
      <c r="B64" s="439"/>
      <c r="C64" s="439"/>
      <c r="D64" s="439"/>
      <c r="E64" s="439"/>
      <c r="F64" s="439"/>
      <c r="G64" s="440"/>
      <c r="H64" s="13">
        <f>SUM(H61:H63)</f>
        <v>59.94</v>
      </c>
    </row>
  </sheetData>
  <mergeCells count="91">
    <mergeCell ref="A1:H3"/>
    <mergeCell ref="A4:H4"/>
    <mergeCell ref="A5:H5"/>
    <mergeCell ref="A8:H8"/>
    <mergeCell ref="H6:H7"/>
    <mergeCell ref="A6:A7"/>
    <mergeCell ref="B6:E7"/>
    <mergeCell ref="F6:F7"/>
    <mergeCell ref="G6:G7"/>
    <mergeCell ref="B9:H9"/>
    <mergeCell ref="B10:F10"/>
    <mergeCell ref="A11:A12"/>
    <mergeCell ref="B11:B12"/>
    <mergeCell ref="C11:C12"/>
    <mergeCell ref="D11:D12"/>
    <mergeCell ref="E11:E12"/>
    <mergeCell ref="F11:F12"/>
    <mergeCell ref="G11:G12"/>
    <mergeCell ref="H11:H12"/>
    <mergeCell ref="A15:G15"/>
    <mergeCell ref="B16:F16"/>
    <mergeCell ref="A17:A18"/>
    <mergeCell ref="B17:B18"/>
    <mergeCell ref="C17:C18"/>
    <mergeCell ref="D17:D18"/>
    <mergeCell ref="E17:E18"/>
    <mergeCell ref="F17:F18"/>
    <mergeCell ref="G17:G18"/>
    <mergeCell ref="H17:H18"/>
    <mergeCell ref="A21:G21"/>
    <mergeCell ref="B22:H22"/>
    <mergeCell ref="B23:F23"/>
    <mergeCell ref="A24:A25"/>
    <mergeCell ref="B24:B25"/>
    <mergeCell ref="C24:C25"/>
    <mergeCell ref="D24:D25"/>
    <mergeCell ref="E24:E25"/>
    <mergeCell ref="F24:F25"/>
    <mergeCell ref="G24:G25"/>
    <mergeCell ref="H24:H25"/>
    <mergeCell ref="A29:G29"/>
    <mergeCell ref="B30:F30"/>
    <mergeCell ref="A31:A32"/>
    <mergeCell ref="B31:B32"/>
    <mergeCell ref="C31:C32"/>
    <mergeCell ref="D31:D32"/>
    <mergeCell ref="E31:E32"/>
    <mergeCell ref="F31:F32"/>
    <mergeCell ref="G31:G32"/>
    <mergeCell ref="H31:H32"/>
    <mergeCell ref="A36:G36"/>
    <mergeCell ref="B37:F37"/>
    <mergeCell ref="A38:A39"/>
    <mergeCell ref="B38:B39"/>
    <mergeCell ref="C38:C39"/>
    <mergeCell ref="D38:D39"/>
    <mergeCell ref="E38:E39"/>
    <mergeCell ref="F38:F39"/>
    <mergeCell ref="G38:G39"/>
    <mergeCell ref="H38:H39"/>
    <mergeCell ref="A43:G43"/>
    <mergeCell ref="B44:F44"/>
    <mergeCell ref="A45:A46"/>
    <mergeCell ref="B45:B46"/>
    <mergeCell ref="C45:C46"/>
    <mergeCell ref="D45:D46"/>
    <mergeCell ref="E45:E46"/>
    <mergeCell ref="F45:F46"/>
    <mergeCell ref="G45:G46"/>
    <mergeCell ref="H45:H46"/>
    <mergeCell ref="A50:G50"/>
    <mergeCell ref="B51:F51"/>
    <mergeCell ref="A52:A53"/>
    <mergeCell ref="B52:B53"/>
    <mergeCell ref="C52:C53"/>
    <mergeCell ref="D52:D53"/>
    <mergeCell ref="E52:E53"/>
    <mergeCell ref="F52:F53"/>
    <mergeCell ref="G52:G53"/>
    <mergeCell ref="H52:H53"/>
    <mergeCell ref="H59:H60"/>
    <mergeCell ref="A64:G64"/>
    <mergeCell ref="A57:G57"/>
    <mergeCell ref="B58:F58"/>
    <mergeCell ref="A59:A60"/>
    <mergeCell ref="B59:B60"/>
    <mergeCell ref="C59:C60"/>
    <mergeCell ref="D59:D60"/>
    <mergeCell ref="E59:E60"/>
    <mergeCell ref="F59:F60"/>
    <mergeCell ref="G59:G60"/>
  </mergeCells>
  <pageMargins left="0.70866141732283472" right="0.70866141732283472" top="0.74803149606299213" bottom="0.74803149606299213" header="0" footer="0"/>
  <pageSetup paperSize="9" scale="68" fitToWidth="0" fitToHeight="0" orientation="landscape" r:id="rId1"/>
  <rowBreaks count="1" manualBreakCount="1">
    <brk id="36"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8"/>
  <sheetViews>
    <sheetView view="pageBreakPreview" zoomScaleNormal="100" zoomScaleSheetLayoutView="100" workbookViewId="0">
      <selection activeCell="E27" sqref="E27"/>
    </sheetView>
  </sheetViews>
  <sheetFormatPr defaultColWidth="9" defaultRowHeight="15" customHeight="1" x14ac:dyDescent="0.2"/>
  <cols>
    <col min="1" max="1" width="22.85546875" customWidth="1"/>
    <col min="2" max="4" width="26.7109375" customWidth="1"/>
    <col min="5" max="8" width="22.7109375" customWidth="1"/>
    <col min="9" max="26" width="8" customWidth="1"/>
    <col min="27" max="256" width="12" customWidth="1"/>
  </cols>
  <sheetData>
    <row r="1" spans="1:8" ht="16.5" customHeight="1" x14ac:dyDescent="0.2">
      <c r="A1" s="447" t="s">
        <v>138</v>
      </c>
      <c r="B1" s="448"/>
      <c r="C1" s="448"/>
      <c r="D1" s="448"/>
      <c r="E1" s="448"/>
      <c r="F1" s="448"/>
      <c r="G1" s="448"/>
      <c r="H1" s="449"/>
    </row>
    <row r="2" spans="1:8" ht="16.5" customHeight="1" x14ac:dyDescent="0.2">
      <c r="A2" s="450"/>
      <c r="B2" s="451"/>
      <c r="C2" s="451"/>
      <c r="D2" s="451"/>
      <c r="E2" s="451"/>
      <c r="F2" s="451"/>
      <c r="G2" s="451"/>
      <c r="H2" s="452"/>
    </row>
    <row r="3" spans="1:8" ht="16.5" customHeight="1" x14ac:dyDescent="0.2">
      <c r="A3" s="453"/>
      <c r="B3" s="454"/>
      <c r="C3" s="454"/>
      <c r="D3" s="454"/>
      <c r="E3" s="454"/>
      <c r="F3" s="454"/>
      <c r="G3" s="454"/>
      <c r="H3" s="455"/>
    </row>
    <row r="4" spans="1:8" ht="20.100000000000001" customHeight="1" x14ac:dyDescent="0.2">
      <c r="A4" s="456" t="s">
        <v>0</v>
      </c>
      <c r="B4" s="439"/>
      <c r="C4" s="439"/>
      <c r="D4" s="439"/>
      <c r="E4" s="439"/>
      <c r="F4" s="439"/>
      <c r="G4" s="439"/>
      <c r="H4" s="440"/>
    </row>
    <row r="5" spans="1:8" ht="20.100000000000001" customHeight="1" x14ac:dyDescent="0.2">
      <c r="A5" s="487" t="s">
        <v>162</v>
      </c>
      <c r="B5" s="439"/>
      <c r="C5" s="439"/>
      <c r="D5" s="439"/>
      <c r="E5" s="439"/>
      <c r="F5" s="439"/>
      <c r="G5" s="439"/>
      <c r="H5" s="440"/>
    </row>
    <row r="6" spans="1:8" ht="16.5" customHeight="1" x14ac:dyDescent="0.2">
      <c r="A6" s="488" t="s">
        <v>2</v>
      </c>
      <c r="B6" s="476" t="str">
        <f>'Planilha orçamentária'!C6</f>
        <v>Construção Condomínio (112 apartamentos)</v>
      </c>
      <c r="C6" s="477"/>
      <c r="D6" s="477"/>
      <c r="E6" s="478"/>
      <c r="F6" s="475" t="str">
        <f>'Planilha orçamentária'!G6:G7</f>
        <v>BDI:</v>
      </c>
      <c r="G6" s="485">
        <f>'Planilha orçamentária'!H6:H7</f>
        <v>0.28082487245334908</v>
      </c>
      <c r="H6" s="489">
        <f ca="1">'Planilha orçamentária'!I6:I7</f>
        <v>45075</v>
      </c>
    </row>
    <row r="7" spans="1:8" ht="16.5" customHeight="1" x14ac:dyDescent="0.2">
      <c r="A7" s="437"/>
      <c r="B7" s="479"/>
      <c r="C7" s="480"/>
      <c r="D7" s="480"/>
      <c r="E7" s="481"/>
      <c r="F7" s="437"/>
      <c r="G7" s="437"/>
      <c r="H7" s="437"/>
    </row>
    <row r="8" spans="1:8" ht="18.75" customHeight="1" x14ac:dyDescent="0.2">
      <c r="A8" s="482" t="s">
        <v>139</v>
      </c>
      <c r="B8" s="483"/>
      <c r="C8" s="483"/>
      <c r="D8" s="483"/>
      <c r="E8" s="483"/>
      <c r="F8" s="483"/>
      <c r="G8" s="483"/>
      <c r="H8" s="484"/>
    </row>
    <row r="9" spans="1:8" ht="16.5" customHeight="1" x14ac:dyDescent="0.2">
      <c r="A9" s="466" t="s">
        <v>140</v>
      </c>
      <c r="B9" s="467"/>
      <c r="C9" s="467"/>
      <c r="D9" s="467"/>
      <c r="E9" s="467"/>
      <c r="F9" s="468"/>
      <c r="G9" s="153" t="s">
        <v>141</v>
      </c>
      <c r="H9" s="153" t="s">
        <v>637</v>
      </c>
    </row>
    <row r="10" spans="1:8" ht="16.5" customHeight="1" x14ac:dyDescent="0.2">
      <c r="A10" s="486" t="str">
        <f>'Planilha orçamentária'!D144</f>
        <v>Placa fotoluminescente "S8" - 380 x 190 mm (saída rampa esquerda)</v>
      </c>
      <c r="B10" s="470"/>
      <c r="C10" s="470"/>
      <c r="D10" s="470"/>
      <c r="E10" s="470"/>
      <c r="F10" s="471"/>
      <c r="G10" s="154" t="s">
        <v>52</v>
      </c>
      <c r="H10" s="155">
        <f>MIN(H12:H14)</f>
        <v>11.6</v>
      </c>
    </row>
    <row r="11" spans="1:8" ht="16.5" customHeight="1" x14ac:dyDescent="0.2">
      <c r="A11" s="156" t="s">
        <v>142</v>
      </c>
      <c r="B11" s="466" t="s">
        <v>143</v>
      </c>
      <c r="C11" s="467"/>
      <c r="D11" s="468"/>
      <c r="E11" s="156" t="s">
        <v>144</v>
      </c>
      <c r="F11" s="156" t="s">
        <v>145</v>
      </c>
      <c r="G11" s="156" t="s">
        <v>146</v>
      </c>
      <c r="H11" s="156" t="s">
        <v>147</v>
      </c>
    </row>
    <row r="12" spans="1:8" ht="16.5" customHeight="1" x14ac:dyDescent="0.2">
      <c r="A12" s="5" t="s">
        <v>224</v>
      </c>
      <c r="B12" s="463" t="s">
        <v>214</v>
      </c>
      <c r="C12" s="464"/>
      <c r="D12" s="465"/>
      <c r="E12" s="19" t="s">
        <v>217</v>
      </c>
      <c r="F12" s="7" t="s">
        <v>218</v>
      </c>
      <c r="G12" s="17">
        <v>44853</v>
      </c>
      <c r="H12" s="6">
        <v>15</v>
      </c>
    </row>
    <row r="13" spans="1:8" ht="16.5" customHeight="1" x14ac:dyDescent="0.2">
      <c r="A13" s="5" t="s">
        <v>223</v>
      </c>
      <c r="B13" s="463" t="s">
        <v>215</v>
      </c>
      <c r="C13" s="464"/>
      <c r="D13" s="465"/>
      <c r="E13" s="7" t="s">
        <v>221</v>
      </c>
      <c r="F13" s="7" t="s">
        <v>222</v>
      </c>
      <c r="G13" s="17">
        <v>44853</v>
      </c>
      <c r="H13" s="18">
        <v>11.6</v>
      </c>
    </row>
    <row r="14" spans="1:8" ht="16.5" customHeight="1" x14ac:dyDescent="0.2">
      <c r="A14" s="5" t="s">
        <v>225</v>
      </c>
      <c r="B14" s="463" t="s">
        <v>216</v>
      </c>
      <c r="C14" s="464"/>
      <c r="D14" s="465"/>
      <c r="E14" s="7" t="s">
        <v>219</v>
      </c>
      <c r="F14" s="5" t="s">
        <v>220</v>
      </c>
      <c r="G14" s="17">
        <v>44853</v>
      </c>
      <c r="H14" s="18">
        <v>12.25</v>
      </c>
    </row>
    <row r="15" spans="1:8" ht="24.75" customHeight="1" x14ac:dyDescent="0.2">
      <c r="A15" s="157" t="s">
        <v>160</v>
      </c>
      <c r="B15" s="158"/>
      <c r="C15" s="158"/>
      <c r="D15" s="158"/>
      <c r="E15" s="158"/>
      <c r="F15" s="158"/>
      <c r="G15" s="158"/>
      <c r="H15" s="159"/>
    </row>
    <row r="16" spans="1:8" ht="16.5" customHeight="1" x14ac:dyDescent="0.2">
      <c r="A16" s="466" t="s">
        <v>140</v>
      </c>
      <c r="B16" s="467"/>
      <c r="C16" s="467"/>
      <c r="D16" s="467"/>
      <c r="E16" s="467"/>
      <c r="F16" s="468"/>
      <c r="G16" s="153" t="s">
        <v>141</v>
      </c>
      <c r="H16" s="153" t="s">
        <v>637</v>
      </c>
    </row>
    <row r="17" spans="1:8" ht="16.5" customHeight="1" x14ac:dyDescent="0.2">
      <c r="A17" s="486" t="str">
        <f>'Planilha orçamentária'!D147</f>
        <v>Placa complementar, tipo M1, dimensões 400x600mm</v>
      </c>
      <c r="B17" s="470"/>
      <c r="C17" s="470"/>
      <c r="D17" s="470"/>
      <c r="E17" s="470"/>
      <c r="F17" s="471"/>
      <c r="G17" s="154" t="s">
        <v>52</v>
      </c>
      <c r="H17" s="155">
        <f>MIN(H19:H21)</f>
        <v>24</v>
      </c>
    </row>
    <row r="18" spans="1:8" ht="16.5" customHeight="1" x14ac:dyDescent="0.2">
      <c r="A18" s="156" t="s">
        <v>142</v>
      </c>
      <c r="B18" s="466" t="s">
        <v>143</v>
      </c>
      <c r="C18" s="467"/>
      <c r="D18" s="468"/>
      <c r="E18" s="156" t="s">
        <v>144</v>
      </c>
      <c r="F18" s="156" t="s">
        <v>145</v>
      </c>
      <c r="G18" s="156" t="s">
        <v>146</v>
      </c>
      <c r="H18" s="156" t="s">
        <v>147</v>
      </c>
    </row>
    <row r="19" spans="1:8" ht="16.5" customHeight="1" x14ac:dyDescent="0.2">
      <c r="A19" s="5" t="s">
        <v>224</v>
      </c>
      <c r="B19" s="463" t="s">
        <v>214</v>
      </c>
      <c r="C19" s="464"/>
      <c r="D19" s="465"/>
      <c r="E19" s="19" t="s">
        <v>217</v>
      </c>
      <c r="F19" s="7" t="s">
        <v>218</v>
      </c>
      <c r="G19" s="17">
        <v>44853</v>
      </c>
      <c r="H19" s="6">
        <v>50</v>
      </c>
    </row>
    <row r="20" spans="1:8" ht="16.5" customHeight="1" x14ac:dyDescent="0.2">
      <c r="A20" s="5" t="s">
        <v>223</v>
      </c>
      <c r="B20" s="463" t="s">
        <v>215</v>
      </c>
      <c r="C20" s="464"/>
      <c r="D20" s="465"/>
      <c r="E20" s="19" t="s">
        <v>221</v>
      </c>
      <c r="F20" s="7" t="s">
        <v>222</v>
      </c>
      <c r="G20" s="17">
        <v>44853</v>
      </c>
      <c r="H20" s="6">
        <v>43.16</v>
      </c>
    </row>
    <row r="21" spans="1:8" ht="16.5" customHeight="1" x14ac:dyDescent="0.2">
      <c r="A21" s="5" t="s">
        <v>225</v>
      </c>
      <c r="B21" s="463" t="s">
        <v>216</v>
      </c>
      <c r="C21" s="464"/>
      <c r="D21" s="465"/>
      <c r="E21" s="19" t="s">
        <v>219</v>
      </c>
      <c r="F21" s="7" t="s">
        <v>220</v>
      </c>
      <c r="G21" s="17">
        <v>44853</v>
      </c>
      <c r="H21" s="6">
        <v>24</v>
      </c>
    </row>
    <row r="22" spans="1:8" ht="24.75" customHeight="1" x14ac:dyDescent="0.2">
      <c r="A22" s="157" t="s">
        <v>160</v>
      </c>
      <c r="B22" s="158"/>
      <c r="C22" s="158"/>
      <c r="D22" s="158"/>
      <c r="E22" s="158"/>
      <c r="F22" s="158"/>
      <c r="G22" s="158"/>
      <c r="H22" s="159"/>
    </row>
    <row r="23" spans="1:8" ht="16.5" customHeight="1" x14ac:dyDescent="0.2">
      <c r="A23" s="466" t="s">
        <v>140</v>
      </c>
      <c r="B23" s="467"/>
      <c r="C23" s="467"/>
      <c r="D23" s="467"/>
      <c r="E23" s="467"/>
      <c r="F23" s="468"/>
      <c r="G23" s="153" t="s">
        <v>141</v>
      </c>
      <c r="H23" s="153" t="s">
        <v>637</v>
      </c>
    </row>
    <row r="24" spans="1:8" ht="16.5" customHeight="1" x14ac:dyDescent="0.2">
      <c r="A24" s="469" t="str">
        <f>'Planilha orçamentária'!D159</f>
        <v xml:space="preserve">Minicaptor em latão sextavado com conector e rosca soberba h=250 x dn 10mm </v>
      </c>
      <c r="B24" s="470"/>
      <c r="C24" s="470"/>
      <c r="D24" s="470"/>
      <c r="E24" s="470"/>
      <c r="F24" s="471"/>
      <c r="G24" s="154" t="s">
        <v>52</v>
      </c>
      <c r="H24" s="155">
        <f>MIN(H26:H28)</f>
        <v>15.7</v>
      </c>
    </row>
    <row r="25" spans="1:8" ht="16.5" customHeight="1" x14ac:dyDescent="0.2">
      <c r="A25" s="156" t="s">
        <v>142</v>
      </c>
      <c r="B25" s="466" t="s">
        <v>143</v>
      </c>
      <c r="C25" s="467"/>
      <c r="D25" s="468"/>
      <c r="E25" s="156" t="s">
        <v>144</v>
      </c>
      <c r="F25" s="156" t="s">
        <v>145</v>
      </c>
      <c r="G25" s="156" t="s">
        <v>146</v>
      </c>
      <c r="H25" s="156" t="s">
        <v>147</v>
      </c>
    </row>
    <row r="26" spans="1:8" ht="16.5" customHeight="1" x14ac:dyDescent="0.2">
      <c r="A26" s="5" t="s">
        <v>148</v>
      </c>
      <c r="B26" s="463" t="s">
        <v>149</v>
      </c>
      <c r="C26" s="464"/>
      <c r="D26" s="465"/>
      <c r="E26" s="19" t="s">
        <v>150</v>
      </c>
      <c r="F26" s="7" t="s">
        <v>151</v>
      </c>
      <c r="G26" s="17">
        <v>44479</v>
      </c>
      <c r="H26" s="6">
        <v>15.7</v>
      </c>
    </row>
    <row r="27" spans="1:8" ht="16.5" customHeight="1" x14ac:dyDescent="0.2">
      <c r="A27" s="5" t="s">
        <v>152</v>
      </c>
      <c r="B27" s="463" t="s">
        <v>153</v>
      </c>
      <c r="C27" s="464"/>
      <c r="D27" s="465"/>
      <c r="E27" s="19" t="s">
        <v>154</v>
      </c>
      <c r="F27" s="7" t="s">
        <v>155</v>
      </c>
      <c r="G27" s="17">
        <v>44479</v>
      </c>
      <c r="H27" s="6">
        <v>18.260000000000002</v>
      </c>
    </row>
    <row r="28" spans="1:8" ht="16.5" customHeight="1" x14ac:dyDescent="0.2">
      <c r="A28" s="5" t="s">
        <v>156</v>
      </c>
      <c r="B28" s="463" t="s">
        <v>157</v>
      </c>
      <c r="C28" s="464"/>
      <c r="D28" s="465"/>
      <c r="E28" s="19" t="s">
        <v>158</v>
      </c>
      <c r="F28" s="7" t="s">
        <v>159</v>
      </c>
      <c r="G28" s="17">
        <v>44479</v>
      </c>
      <c r="H28" s="6"/>
    </row>
    <row r="29" spans="1:8" ht="24.75" customHeight="1" x14ac:dyDescent="0.2">
      <c r="A29" s="157" t="s">
        <v>160</v>
      </c>
      <c r="B29" s="158"/>
      <c r="C29" s="158"/>
      <c r="D29" s="158"/>
      <c r="E29" s="158"/>
      <c r="F29" s="158"/>
      <c r="G29" s="158"/>
      <c r="H29" s="159"/>
    </row>
    <row r="30" spans="1:8" ht="16.5" customHeight="1" x14ac:dyDescent="0.2">
      <c r="A30" s="466" t="s">
        <v>140</v>
      </c>
      <c r="B30" s="467"/>
      <c r="C30" s="467"/>
      <c r="D30" s="467"/>
      <c r="E30" s="467"/>
      <c r="F30" s="468"/>
      <c r="G30" s="153" t="s">
        <v>141</v>
      </c>
      <c r="H30" s="153" t="s">
        <v>637</v>
      </c>
    </row>
    <row r="31" spans="1:8" ht="16.5" customHeight="1" x14ac:dyDescent="0.2">
      <c r="A31" s="469" t="str">
        <f>'Planilha orçamentária'!D160</f>
        <v xml:space="preserve">Conector mini-gar ref.: tel-583  </v>
      </c>
      <c r="B31" s="470"/>
      <c r="C31" s="470"/>
      <c r="D31" s="470"/>
      <c r="E31" s="470"/>
      <c r="F31" s="471"/>
      <c r="G31" s="154" t="s">
        <v>52</v>
      </c>
      <c r="H31" s="155">
        <f>MIN(H33:H35)</f>
        <v>37.57</v>
      </c>
    </row>
    <row r="32" spans="1:8" ht="16.5" customHeight="1" x14ac:dyDescent="0.2">
      <c r="A32" s="156" t="s">
        <v>142</v>
      </c>
      <c r="B32" s="466" t="s">
        <v>143</v>
      </c>
      <c r="C32" s="467"/>
      <c r="D32" s="468"/>
      <c r="E32" s="156" t="s">
        <v>144</v>
      </c>
      <c r="F32" s="156" t="s">
        <v>145</v>
      </c>
      <c r="G32" s="156" t="s">
        <v>146</v>
      </c>
      <c r="H32" s="156" t="s">
        <v>147</v>
      </c>
    </row>
    <row r="33" spans="1:8" ht="16.5" customHeight="1" x14ac:dyDescent="0.2">
      <c r="A33" s="5" t="s">
        <v>148</v>
      </c>
      <c r="B33" s="463" t="s">
        <v>149</v>
      </c>
      <c r="C33" s="464"/>
      <c r="D33" s="465"/>
      <c r="E33" s="19" t="s">
        <v>150</v>
      </c>
      <c r="F33" s="7" t="s">
        <v>151</v>
      </c>
      <c r="G33" s="17">
        <v>44479</v>
      </c>
      <c r="H33" s="6">
        <v>61.62</v>
      </c>
    </row>
    <row r="34" spans="1:8" ht="16.5" customHeight="1" x14ac:dyDescent="0.2">
      <c r="A34" s="5" t="s">
        <v>152</v>
      </c>
      <c r="B34" s="463" t="s">
        <v>153</v>
      </c>
      <c r="C34" s="464"/>
      <c r="D34" s="465"/>
      <c r="E34" s="19" t="s">
        <v>154</v>
      </c>
      <c r="F34" s="7" t="s">
        <v>155</v>
      </c>
      <c r="G34" s="17">
        <v>44479</v>
      </c>
      <c r="H34" s="6">
        <v>37.57</v>
      </c>
    </row>
    <row r="35" spans="1:8" ht="16.5" customHeight="1" x14ac:dyDescent="0.2">
      <c r="A35" s="5" t="s">
        <v>156</v>
      </c>
      <c r="B35" s="463" t="s">
        <v>157</v>
      </c>
      <c r="C35" s="464"/>
      <c r="D35" s="465"/>
      <c r="E35" s="19" t="s">
        <v>158</v>
      </c>
      <c r="F35" s="7" t="s">
        <v>159</v>
      </c>
      <c r="G35" s="17">
        <v>44479</v>
      </c>
      <c r="H35" s="6"/>
    </row>
    <row r="36" spans="1:8" ht="24.75" customHeight="1" x14ac:dyDescent="0.2">
      <c r="A36" s="157" t="s">
        <v>160</v>
      </c>
      <c r="B36" s="158"/>
      <c r="C36" s="158"/>
      <c r="D36" s="158"/>
      <c r="E36" s="158"/>
      <c r="F36" s="158"/>
      <c r="G36" s="158"/>
      <c r="H36" s="159"/>
    </row>
    <row r="37" spans="1:8" ht="16.5" customHeight="1" x14ac:dyDescent="0.2">
      <c r="A37" s="466" t="s">
        <v>140</v>
      </c>
      <c r="B37" s="467"/>
      <c r="C37" s="467"/>
      <c r="D37" s="467"/>
      <c r="E37" s="467"/>
      <c r="F37" s="468"/>
      <c r="G37" s="153" t="s">
        <v>141</v>
      </c>
      <c r="H37" s="153" t="s">
        <v>637</v>
      </c>
    </row>
    <row r="38" spans="1:8" ht="16.5" customHeight="1" x14ac:dyDescent="0.2">
      <c r="A38" s="469" t="str">
        <f>'Planilha orçamentária'!D161</f>
        <v>Parafuso em aço inox 4,2x32mm ref.: tel-5333</v>
      </c>
      <c r="B38" s="470"/>
      <c r="C38" s="470"/>
      <c r="D38" s="470"/>
      <c r="E38" s="470"/>
      <c r="F38" s="471"/>
      <c r="G38" s="154" t="s">
        <v>52</v>
      </c>
      <c r="H38" s="155">
        <f>MIN(H40:H42)</f>
        <v>0.28999999999999998</v>
      </c>
    </row>
    <row r="39" spans="1:8" ht="16.5" customHeight="1" x14ac:dyDescent="0.2">
      <c r="A39" s="156" t="s">
        <v>142</v>
      </c>
      <c r="B39" s="466" t="s">
        <v>143</v>
      </c>
      <c r="C39" s="467"/>
      <c r="D39" s="468"/>
      <c r="E39" s="156" t="s">
        <v>144</v>
      </c>
      <c r="F39" s="156" t="s">
        <v>145</v>
      </c>
      <c r="G39" s="156" t="s">
        <v>146</v>
      </c>
      <c r="H39" s="156" t="s">
        <v>147</v>
      </c>
    </row>
    <row r="40" spans="1:8" ht="16.5" customHeight="1" x14ac:dyDescent="0.2">
      <c r="A40" s="5" t="s">
        <v>148</v>
      </c>
      <c r="B40" s="463" t="s">
        <v>149</v>
      </c>
      <c r="C40" s="464"/>
      <c r="D40" s="465"/>
      <c r="E40" s="19" t="s">
        <v>150</v>
      </c>
      <c r="F40" s="7" t="s">
        <v>151</v>
      </c>
      <c r="G40" s="17">
        <v>44479</v>
      </c>
      <c r="H40" s="6">
        <v>0.28999999999999998</v>
      </c>
    </row>
    <row r="41" spans="1:8" ht="16.5" customHeight="1" x14ac:dyDescent="0.2">
      <c r="A41" s="5" t="s">
        <v>152</v>
      </c>
      <c r="B41" s="463" t="s">
        <v>153</v>
      </c>
      <c r="C41" s="464"/>
      <c r="D41" s="465"/>
      <c r="E41" s="19" t="s">
        <v>154</v>
      </c>
      <c r="F41" s="7" t="s">
        <v>155</v>
      </c>
      <c r="G41" s="17">
        <v>44479</v>
      </c>
      <c r="H41" s="6">
        <v>0.68</v>
      </c>
    </row>
    <row r="42" spans="1:8" ht="16.5" customHeight="1" x14ac:dyDescent="0.2">
      <c r="A42" s="5" t="s">
        <v>156</v>
      </c>
      <c r="B42" s="463" t="s">
        <v>157</v>
      </c>
      <c r="C42" s="464"/>
      <c r="D42" s="465"/>
      <c r="E42" s="19" t="s">
        <v>158</v>
      </c>
      <c r="F42" s="7" t="s">
        <v>159</v>
      </c>
      <c r="G42" s="17">
        <v>44479</v>
      </c>
      <c r="H42" s="6"/>
    </row>
    <row r="43" spans="1:8" ht="24.75" customHeight="1" x14ac:dyDescent="0.2">
      <c r="A43" s="157" t="s">
        <v>160</v>
      </c>
      <c r="B43" s="158"/>
      <c r="C43" s="158"/>
      <c r="D43" s="158"/>
      <c r="E43" s="158"/>
      <c r="F43" s="158"/>
      <c r="G43" s="158"/>
      <c r="H43" s="159"/>
    </row>
    <row r="44" spans="1:8" ht="16.5" customHeight="1" x14ac:dyDescent="0.2">
      <c r="A44" s="466" t="s">
        <v>140</v>
      </c>
      <c r="B44" s="467"/>
      <c r="C44" s="467"/>
      <c r="D44" s="467"/>
      <c r="E44" s="467"/>
      <c r="F44" s="468"/>
      <c r="G44" s="153" t="s">
        <v>141</v>
      </c>
      <c r="H44" s="153" t="s">
        <v>637</v>
      </c>
    </row>
    <row r="45" spans="1:8" ht="16.5" customHeight="1" x14ac:dyDescent="0.2">
      <c r="A45" s="469" t="str">
        <f>'Planilha orçamentária'!D162</f>
        <v>Bucha de nylon nº6</v>
      </c>
      <c r="B45" s="470"/>
      <c r="C45" s="470"/>
      <c r="D45" s="470"/>
      <c r="E45" s="470"/>
      <c r="F45" s="471"/>
      <c r="G45" s="154" t="s">
        <v>52</v>
      </c>
      <c r="H45" s="155">
        <f>MIN(H47:H49)</f>
        <v>0.52</v>
      </c>
    </row>
    <row r="46" spans="1:8" ht="16.5" customHeight="1" x14ac:dyDescent="0.2">
      <c r="A46" s="156" t="s">
        <v>142</v>
      </c>
      <c r="B46" s="466" t="s">
        <v>143</v>
      </c>
      <c r="C46" s="467"/>
      <c r="D46" s="468"/>
      <c r="E46" s="156" t="s">
        <v>144</v>
      </c>
      <c r="F46" s="156" t="s">
        <v>145</v>
      </c>
      <c r="G46" s="156" t="s">
        <v>146</v>
      </c>
      <c r="H46" s="156" t="s">
        <v>147</v>
      </c>
    </row>
    <row r="47" spans="1:8" ht="16.5" customHeight="1" x14ac:dyDescent="0.2">
      <c r="A47" s="5" t="s">
        <v>148</v>
      </c>
      <c r="B47" s="463" t="s">
        <v>149</v>
      </c>
      <c r="C47" s="464"/>
      <c r="D47" s="465"/>
      <c r="E47" s="19" t="s">
        <v>150</v>
      </c>
      <c r="F47" s="7" t="s">
        <v>151</v>
      </c>
      <c r="G47" s="17">
        <v>44479</v>
      </c>
      <c r="H47" s="6">
        <v>0.52</v>
      </c>
    </row>
    <row r="48" spans="1:8" ht="16.5" customHeight="1" x14ac:dyDescent="0.2">
      <c r="A48" s="5" t="s">
        <v>152</v>
      </c>
      <c r="B48" s="463" t="s">
        <v>153</v>
      </c>
      <c r="C48" s="464"/>
      <c r="D48" s="465"/>
      <c r="E48" s="19" t="s">
        <v>154</v>
      </c>
      <c r="F48" s="7" t="s">
        <v>155</v>
      </c>
      <c r="G48" s="17">
        <v>44479</v>
      </c>
      <c r="H48" s="6"/>
    </row>
    <row r="49" spans="1:8" ht="16.5" customHeight="1" x14ac:dyDescent="0.2">
      <c r="A49" s="5" t="s">
        <v>156</v>
      </c>
      <c r="B49" s="463" t="s">
        <v>157</v>
      </c>
      <c r="C49" s="464"/>
      <c r="D49" s="465"/>
      <c r="E49" s="19" t="s">
        <v>158</v>
      </c>
      <c r="F49" s="7" t="s">
        <v>159</v>
      </c>
      <c r="G49" s="17">
        <v>44479</v>
      </c>
      <c r="H49" s="6"/>
    </row>
    <row r="50" spans="1:8" ht="24.75" customHeight="1" x14ac:dyDescent="0.2">
      <c r="A50" s="157" t="s">
        <v>160</v>
      </c>
      <c r="B50" s="158"/>
      <c r="C50" s="158"/>
      <c r="D50" s="158"/>
      <c r="E50" s="158"/>
      <c r="F50" s="158"/>
      <c r="G50" s="158"/>
      <c r="H50" s="159"/>
    </row>
    <row r="51" spans="1:8" ht="16.5" customHeight="1" x14ac:dyDescent="0.2">
      <c r="A51" s="466" t="s">
        <v>140</v>
      </c>
      <c r="B51" s="467"/>
      <c r="C51" s="467"/>
      <c r="D51" s="467"/>
      <c r="E51" s="467"/>
      <c r="F51" s="468"/>
      <c r="G51" s="153" t="s">
        <v>141</v>
      </c>
      <c r="H51" s="153" t="s">
        <v>637</v>
      </c>
    </row>
    <row r="52" spans="1:8" ht="16.5" customHeight="1" x14ac:dyDescent="0.2">
      <c r="A52" s="469" t="str">
        <f>'Planilha orçamentária'!D163</f>
        <v>Presilha para cabo de cobre 35mm²</v>
      </c>
      <c r="B52" s="470"/>
      <c r="C52" s="470"/>
      <c r="D52" s="470"/>
      <c r="E52" s="470"/>
      <c r="F52" s="471"/>
      <c r="G52" s="154" t="s">
        <v>52</v>
      </c>
      <c r="H52" s="155">
        <f>MIN(H54:H56)</f>
        <v>0.96</v>
      </c>
    </row>
    <row r="53" spans="1:8" ht="16.5" customHeight="1" x14ac:dyDescent="0.2">
      <c r="A53" s="156" t="s">
        <v>142</v>
      </c>
      <c r="B53" s="466" t="s">
        <v>143</v>
      </c>
      <c r="C53" s="467"/>
      <c r="D53" s="468"/>
      <c r="E53" s="156" t="s">
        <v>144</v>
      </c>
      <c r="F53" s="156" t="s">
        <v>145</v>
      </c>
      <c r="G53" s="156" t="s">
        <v>146</v>
      </c>
      <c r="H53" s="156" t="s">
        <v>147</v>
      </c>
    </row>
    <row r="54" spans="1:8" ht="16.5" customHeight="1" x14ac:dyDescent="0.2">
      <c r="A54" s="5" t="s">
        <v>148</v>
      </c>
      <c r="B54" s="463" t="s">
        <v>149</v>
      </c>
      <c r="C54" s="464"/>
      <c r="D54" s="465"/>
      <c r="E54" s="19" t="s">
        <v>150</v>
      </c>
      <c r="F54" s="7" t="s">
        <v>151</v>
      </c>
      <c r="G54" s="17">
        <v>44479</v>
      </c>
      <c r="H54" s="6">
        <v>2.31</v>
      </c>
    </row>
    <row r="55" spans="1:8" ht="16.5" customHeight="1" x14ac:dyDescent="0.2">
      <c r="A55" s="5" t="s">
        <v>152</v>
      </c>
      <c r="B55" s="463" t="s">
        <v>153</v>
      </c>
      <c r="C55" s="464"/>
      <c r="D55" s="465"/>
      <c r="E55" s="19" t="s">
        <v>154</v>
      </c>
      <c r="F55" s="7" t="s">
        <v>155</v>
      </c>
      <c r="G55" s="17">
        <v>44479</v>
      </c>
      <c r="H55" s="6">
        <v>0.96</v>
      </c>
    </row>
    <row r="56" spans="1:8" ht="16.5" customHeight="1" x14ac:dyDescent="0.2">
      <c r="A56" s="5" t="s">
        <v>156</v>
      </c>
      <c r="B56" s="463" t="s">
        <v>157</v>
      </c>
      <c r="C56" s="464"/>
      <c r="D56" s="465"/>
      <c r="E56" s="19" t="s">
        <v>158</v>
      </c>
      <c r="F56" s="7" t="s">
        <v>159</v>
      </c>
      <c r="G56" s="17">
        <v>44479</v>
      </c>
      <c r="H56" s="6"/>
    </row>
    <row r="57" spans="1:8" ht="24.75" customHeight="1" x14ac:dyDescent="0.2">
      <c r="A57" s="157" t="s">
        <v>160</v>
      </c>
      <c r="B57" s="158"/>
      <c r="C57" s="158"/>
      <c r="D57" s="158"/>
      <c r="E57" s="158"/>
      <c r="F57" s="158"/>
      <c r="G57" s="158"/>
      <c r="H57" s="159"/>
    </row>
    <row r="58" spans="1:8" ht="16.5" customHeight="1" x14ac:dyDescent="0.2">
      <c r="A58" s="466" t="s">
        <v>140</v>
      </c>
      <c r="B58" s="467"/>
      <c r="C58" s="467"/>
      <c r="D58" s="467"/>
      <c r="E58" s="467"/>
      <c r="F58" s="468"/>
      <c r="G58" s="153" t="s">
        <v>141</v>
      </c>
      <c r="H58" s="153" t="s">
        <v>637</v>
      </c>
    </row>
    <row r="59" spans="1:8" ht="16.5" customHeight="1" x14ac:dyDescent="0.2">
      <c r="A59" s="469" t="str">
        <f>'Planilha orçamentária'!D164</f>
        <v>Fixador universal com parafuso autoperfurante sextavado para conexão de pilar metálico com estruturas metálicas do telhado. Tel-5024</v>
      </c>
      <c r="B59" s="470"/>
      <c r="C59" s="470"/>
      <c r="D59" s="470"/>
      <c r="E59" s="470"/>
      <c r="F59" s="471"/>
      <c r="G59" s="154" t="s">
        <v>52</v>
      </c>
      <c r="H59" s="155">
        <f>MIN(H61:H63)</f>
        <v>15.18</v>
      </c>
    </row>
    <row r="60" spans="1:8" ht="16.5" customHeight="1" x14ac:dyDescent="0.2">
      <c r="A60" s="156" t="s">
        <v>142</v>
      </c>
      <c r="B60" s="466" t="s">
        <v>143</v>
      </c>
      <c r="C60" s="467"/>
      <c r="D60" s="468"/>
      <c r="E60" s="156" t="s">
        <v>144</v>
      </c>
      <c r="F60" s="156" t="s">
        <v>145</v>
      </c>
      <c r="G60" s="156" t="s">
        <v>146</v>
      </c>
      <c r="H60" s="156" t="s">
        <v>147</v>
      </c>
    </row>
    <row r="61" spans="1:8" ht="16.5" customHeight="1" x14ac:dyDescent="0.2">
      <c r="A61" s="5" t="s">
        <v>148</v>
      </c>
      <c r="B61" s="463" t="s">
        <v>149</v>
      </c>
      <c r="C61" s="464"/>
      <c r="D61" s="465"/>
      <c r="E61" s="19" t="s">
        <v>150</v>
      </c>
      <c r="F61" s="7" t="s">
        <v>151</v>
      </c>
      <c r="G61" s="17">
        <v>44479</v>
      </c>
      <c r="H61" s="6">
        <v>20.79</v>
      </c>
    </row>
    <row r="62" spans="1:8" ht="16.5" customHeight="1" x14ac:dyDescent="0.2">
      <c r="A62" s="5" t="s">
        <v>152</v>
      </c>
      <c r="B62" s="463" t="s">
        <v>153</v>
      </c>
      <c r="C62" s="464"/>
      <c r="D62" s="465"/>
      <c r="E62" s="19" t="s">
        <v>154</v>
      </c>
      <c r="F62" s="7" t="s">
        <v>155</v>
      </c>
      <c r="G62" s="17">
        <v>44479</v>
      </c>
      <c r="H62" s="6">
        <v>15.18</v>
      </c>
    </row>
    <row r="63" spans="1:8" ht="16.5" customHeight="1" x14ac:dyDescent="0.2">
      <c r="A63" s="5" t="s">
        <v>156</v>
      </c>
      <c r="B63" s="463" t="s">
        <v>157</v>
      </c>
      <c r="C63" s="464"/>
      <c r="D63" s="465"/>
      <c r="E63" s="19" t="s">
        <v>158</v>
      </c>
      <c r="F63" s="7" t="s">
        <v>159</v>
      </c>
      <c r="G63" s="17">
        <v>44479</v>
      </c>
      <c r="H63" s="6"/>
    </row>
    <row r="64" spans="1:8" ht="24.75" customHeight="1" x14ac:dyDescent="0.2">
      <c r="A64" s="157" t="s">
        <v>160</v>
      </c>
      <c r="B64" s="158"/>
      <c r="C64" s="158"/>
      <c r="D64" s="158"/>
      <c r="E64" s="158"/>
      <c r="F64" s="158"/>
      <c r="G64" s="158"/>
      <c r="H64" s="159"/>
    </row>
    <row r="65" spans="1:8" ht="15" customHeight="1" x14ac:dyDescent="0.2">
      <c r="A65" s="22"/>
      <c r="B65" s="474"/>
      <c r="C65" s="473"/>
      <c r="D65" s="473"/>
      <c r="E65" s="20"/>
      <c r="F65" s="20"/>
      <c r="G65" s="21"/>
      <c r="H65" s="23"/>
    </row>
    <row r="66" spans="1:8" ht="15" customHeight="1" x14ac:dyDescent="0.2">
      <c r="A66" s="24"/>
      <c r="B66" s="474"/>
      <c r="C66" s="473"/>
      <c r="D66" s="473"/>
      <c r="E66" s="20"/>
      <c r="F66" s="10"/>
      <c r="G66" s="21"/>
      <c r="H66" s="23"/>
    </row>
    <row r="67" spans="1:8" ht="15" customHeight="1" x14ac:dyDescent="0.2">
      <c r="A67" s="25"/>
      <c r="B67" s="472"/>
      <c r="C67" s="473"/>
      <c r="D67" s="473"/>
      <c r="E67" s="473"/>
      <c r="F67" s="473"/>
      <c r="G67" s="473"/>
      <c r="H67" s="473"/>
    </row>
    <row r="68" spans="1:8" ht="15" customHeight="1" x14ac:dyDescent="0.2">
      <c r="A68" s="26"/>
      <c r="B68" s="473"/>
      <c r="C68" s="473"/>
      <c r="D68" s="473"/>
      <c r="E68" s="473"/>
      <c r="F68" s="473"/>
      <c r="G68" s="473"/>
      <c r="H68" s="473"/>
    </row>
  </sheetData>
  <mergeCells count="60">
    <mergeCell ref="A1:H3"/>
    <mergeCell ref="A4:H4"/>
    <mergeCell ref="A5:H5"/>
    <mergeCell ref="A6:A7"/>
    <mergeCell ref="H6:H7"/>
    <mergeCell ref="B67:H68"/>
    <mergeCell ref="B65:D65"/>
    <mergeCell ref="B66:D66"/>
    <mergeCell ref="F6:F7"/>
    <mergeCell ref="B6:E7"/>
    <mergeCell ref="A8:H8"/>
    <mergeCell ref="G6:G7"/>
    <mergeCell ref="A9:F9"/>
    <mergeCell ref="A10:F10"/>
    <mergeCell ref="B11:D11"/>
    <mergeCell ref="B12:D12"/>
    <mergeCell ref="B13:D13"/>
    <mergeCell ref="B14:D14"/>
    <mergeCell ref="A16:F16"/>
    <mergeCell ref="A17:F17"/>
    <mergeCell ref="B18:D18"/>
    <mergeCell ref="B19:D19"/>
    <mergeCell ref="B20:D20"/>
    <mergeCell ref="B21:D21"/>
    <mergeCell ref="A23:F23"/>
    <mergeCell ref="A24:F24"/>
    <mergeCell ref="B25:D25"/>
    <mergeCell ref="B26:D26"/>
    <mergeCell ref="B27:D27"/>
    <mergeCell ref="B28:D28"/>
    <mergeCell ref="A30:F30"/>
    <mergeCell ref="A31:F31"/>
    <mergeCell ref="B32:D32"/>
    <mergeCell ref="B33:D33"/>
    <mergeCell ref="B34:D34"/>
    <mergeCell ref="B35:D35"/>
    <mergeCell ref="A37:F37"/>
    <mergeCell ref="A38:F38"/>
    <mergeCell ref="B39:D39"/>
    <mergeCell ref="B40:D40"/>
    <mergeCell ref="B41:D41"/>
    <mergeCell ref="B42:D42"/>
    <mergeCell ref="A44:F44"/>
    <mergeCell ref="A45:F45"/>
    <mergeCell ref="B46:D46"/>
    <mergeCell ref="B47:D47"/>
    <mergeCell ref="B48:D48"/>
    <mergeCell ref="B49:D49"/>
    <mergeCell ref="A51:F51"/>
    <mergeCell ref="A52:F52"/>
    <mergeCell ref="B53:D53"/>
    <mergeCell ref="B54:D54"/>
    <mergeCell ref="B55:D55"/>
    <mergeCell ref="B56:D56"/>
    <mergeCell ref="B63:D63"/>
    <mergeCell ref="A58:F58"/>
    <mergeCell ref="A59:F59"/>
    <mergeCell ref="B60:D60"/>
    <mergeCell ref="B61:D61"/>
    <mergeCell ref="B62:D62"/>
  </mergeCells>
  <pageMargins left="0.70866141732283472" right="0.70866141732283472" top="0.74803149606299213" bottom="0.74803149606299213" header="0" footer="0"/>
  <pageSetup paperSize="9" scale="69" fitToHeight="0" orientation="landscape" r:id="rId1"/>
  <rowBreaks count="1" manualBreakCount="1">
    <brk id="36" max="7"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view="pageBreakPreview" topLeftCell="A4" zoomScaleNormal="100" zoomScaleSheetLayoutView="100" workbookViewId="0">
      <selection activeCell="A23" sqref="A23:H23"/>
    </sheetView>
  </sheetViews>
  <sheetFormatPr defaultColWidth="9.140625" defaultRowHeight="14.25" x14ac:dyDescent="0.2"/>
  <cols>
    <col min="1" max="1" width="12.7109375" style="119" customWidth="1"/>
    <col min="2" max="2" width="31.5703125" style="101" customWidth="1"/>
    <col min="3" max="6" width="14.7109375" style="101" customWidth="1"/>
    <col min="7" max="7" width="14.7109375" style="120" customWidth="1"/>
    <col min="8" max="10" width="14.7109375" style="101" customWidth="1"/>
    <col min="11" max="11" width="9.140625" style="101"/>
    <col min="12" max="13" width="13.140625" style="101" bestFit="1" customWidth="1"/>
    <col min="14" max="26" width="9.140625" style="101"/>
    <col min="27" max="28" width="13.140625" style="101" bestFit="1" customWidth="1"/>
    <col min="29" max="16384" width="9.140625" style="101"/>
  </cols>
  <sheetData>
    <row r="1" spans="1:10" ht="16.5" customHeight="1" x14ac:dyDescent="0.2">
      <c r="A1" s="491" t="s">
        <v>440</v>
      </c>
      <c r="B1" s="491"/>
      <c r="C1" s="491"/>
      <c r="D1" s="491"/>
      <c r="E1" s="491"/>
      <c r="F1" s="491"/>
      <c r="G1" s="491"/>
      <c r="H1" s="491"/>
      <c r="I1" s="491"/>
      <c r="J1" s="491"/>
    </row>
    <row r="2" spans="1:10" ht="16.5" customHeight="1" x14ac:dyDescent="0.2">
      <c r="A2" s="491"/>
      <c r="B2" s="491"/>
      <c r="C2" s="491"/>
      <c r="D2" s="491"/>
      <c r="E2" s="491"/>
      <c r="F2" s="491"/>
      <c r="G2" s="491"/>
      <c r="H2" s="491"/>
      <c r="I2" s="491"/>
      <c r="J2" s="491"/>
    </row>
    <row r="3" spans="1:10" ht="16.5" customHeight="1" x14ac:dyDescent="0.2">
      <c r="A3" s="491"/>
      <c r="B3" s="491"/>
      <c r="C3" s="491"/>
      <c r="D3" s="491"/>
      <c r="E3" s="491"/>
      <c r="F3" s="491"/>
      <c r="G3" s="491"/>
      <c r="H3" s="491"/>
      <c r="I3" s="491"/>
      <c r="J3" s="491"/>
    </row>
    <row r="4" spans="1:10" ht="18.95" customHeight="1" x14ac:dyDescent="0.2">
      <c r="A4" s="492" t="str">
        <f>'[4]PLANILHA ORÇAMENTÁRIA'!A4</f>
        <v>OBRA POR EXECUÇÃO INDIRETA</v>
      </c>
      <c r="B4" s="492"/>
      <c r="C4" s="492"/>
      <c r="D4" s="492"/>
      <c r="E4" s="492"/>
      <c r="F4" s="492"/>
      <c r="G4" s="492"/>
      <c r="H4" s="492"/>
      <c r="I4" s="492"/>
      <c r="J4" s="492"/>
    </row>
    <row r="5" spans="1:10" ht="18.95" customHeight="1" x14ac:dyDescent="0.2">
      <c r="A5" s="493" t="str">
        <f>'[4]PLANILHA ORÇAMENTÁRIA'!A5</f>
        <v>Setor requisitante: Secretaria Municipal de Obras e Serviços Urbanos</v>
      </c>
      <c r="B5" s="493"/>
      <c r="C5" s="493"/>
      <c r="D5" s="493"/>
      <c r="E5" s="493"/>
      <c r="F5" s="493"/>
      <c r="G5" s="493"/>
      <c r="H5" s="493"/>
      <c r="I5" s="493"/>
      <c r="J5" s="493"/>
    </row>
    <row r="6" spans="1:10" ht="38.1" customHeight="1" x14ac:dyDescent="0.2">
      <c r="A6" s="102" t="str">
        <f>'Planilha orçamentária'!A6:B7</f>
        <v>Objeto:</v>
      </c>
      <c r="B6" s="494" t="str">
        <f>'Planilha orçamentária'!C6</f>
        <v>Construção Condomínio (112 apartamentos)</v>
      </c>
      <c r="C6" s="495"/>
      <c r="D6" s="495"/>
      <c r="E6" s="495"/>
      <c r="F6" s="495"/>
      <c r="G6" s="495"/>
      <c r="H6" s="495"/>
      <c r="I6" s="496"/>
      <c r="J6" s="103">
        <f ca="1">'Planilha orçamentária'!I6:I7</f>
        <v>45075</v>
      </c>
    </row>
    <row r="7" spans="1:10" ht="18.95" customHeight="1" x14ac:dyDescent="0.2">
      <c r="A7" s="497" t="s">
        <v>441</v>
      </c>
      <c r="B7" s="497"/>
      <c r="C7" s="497"/>
      <c r="D7" s="497"/>
      <c r="E7" s="497"/>
      <c r="F7" s="497"/>
      <c r="G7" s="497"/>
      <c r="H7" s="497"/>
      <c r="I7" s="497"/>
      <c r="J7" s="497"/>
    </row>
    <row r="8" spans="1:10" ht="16.5" customHeight="1" x14ac:dyDescent="0.2">
      <c r="A8" s="104"/>
      <c r="B8" s="105"/>
      <c r="C8" s="105"/>
      <c r="D8" s="105"/>
      <c r="E8" s="105"/>
      <c r="F8" s="105"/>
      <c r="G8" s="105"/>
      <c r="H8" s="105"/>
      <c r="I8" s="105"/>
      <c r="J8" s="106"/>
    </row>
    <row r="9" spans="1:10" ht="16.5" customHeight="1" x14ac:dyDescent="0.2">
      <c r="A9" s="498" t="s">
        <v>442</v>
      </c>
      <c r="B9" s="498"/>
      <c r="C9" s="498"/>
      <c r="D9" s="498"/>
      <c r="E9" s="498"/>
      <c r="F9" s="498"/>
      <c r="G9" s="498"/>
      <c r="H9" s="498"/>
      <c r="I9" s="499">
        <v>0.9</v>
      </c>
      <c r="J9" s="499"/>
    </row>
    <row r="10" spans="1:10" ht="16.5" customHeight="1" x14ac:dyDescent="0.2">
      <c r="A10" s="498" t="s">
        <v>443</v>
      </c>
      <c r="B10" s="498"/>
      <c r="C10" s="498"/>
      <c r="D10" s="498"/>
      <c r="E10" s="498"/>
      <c r="F10" s="498"/>
      <c r="G10" s="498"/>
      <c r="H10" s="498"/>
      <c r="I10" s="499">
        <v>0.05</v>
      </c>
      <c r="J10" s="499"/>
    </row>
    <row r="11" spans="1:10" ht="16.5" customHeight="1" x14ac:dyDescent="0.2">
      <c r="A11" s="104"/>
      <c r="B11" s="105"/>
      <c r="C11" s="105"/>
      <c r="D11" s="105"/>
      <c r="E11" s="105"/>
      <c r="F11" s="105"/>
      <c r="G11" s="105"/>
      <c r="H11" s="105"/>
      <c r="I11" s="105"/>
      <c r="J11" s="106"/>
    </row>
    <row r="12" spans="1:10" ht="16.5" customHeight="1" x14ac:dyDescent="0.2">
      <c r="A12" s="497" t="s">
        <v>444</v>
      </c>
      <c r="B12" s="497"/>
      <c r="C12" s="497"/>
      <c r="D12" s="497"/>
      <c r="E12" s="497"/>
      <c r="F12" s="497"/>
      <c r="G12" s="497"/>
      <c r="H12" s="497"/>
      <c r="I12" s="497"/>
      <c r="J12" s="497"/>
    </row>
    <row r="13" spans="1:10" ht="16.5" customHeight="1" x14ac:dyDescent="0.2">
      <c r="A13" s="104"/>
      <c r="B13" s="105"/>
      <c r="C13" s="105"/>
      <c r="D13" s="105"/>
      <c r="E13" s="105"/>
      <c r="F13" s="105"/>
      <c r="G13" s="105"/>
      <c r="H13" s="105"/>
      <c r="I13" s="105"/>
      <c r="J13" s="106"/>
    </row>
    <row r="14" spans="1:10" ht="16.5" customHeight="1" x14ac:dyDescent="0.2">
      <c r="A14" s="500" t="s">
        <v>445</v>
      </c>
      <c r="B14" s="500"/>
      <c r="C14" s="500"/>
      <c r="D14" s="500"/>
      <c r="E14" s="500"/>
      <c r="F14" s="500"/>
      <c r="G14" s="500"/>
      <c r="H14" s="500"/>
      <c r="I14" s="500"/>
      <c r="J14" s="500"/>
    </row>
    <row r="15" spans="1:10" ht="16.5" customHeight="1" x14ac:dyDescent="0.2">
      <c r="A15" s="501" t="s">
        <v>496</v>
      </c>
      <c r="B15" s="502"/>
      <c r="C15" s="502"/>
      <c r="D15" s="502"/>
      <c r="E15" s="502"/>
      <c r="F15" s="502"/>
      <c r="G15" s="502"/>
      <c r="H15" s="502"/>
      <c r="I15" s="502"/>
      <c r="J15" s="503"/>
    </row>
    <row r="16" spans="1:10" ht="16.5" customHeight="1" x14ac:dyDescent="0.2">
      <c r="A16" s="104"/>
      <c r="B16" s="105"/>
      <c r="C16" s="105"/>
      <c r="D16" s="105"/>
      <c r="E16" s="105"/>
      <c r="F16" s="105"/>
      <c r="G16" s="105"/>
      <c r="H16" s="105"/>
      <c r="I16" s="105"/>
      <c r="J16" s="106"/>
    </row>
    <row r="17" spans="1:13" ht="16.5" customHeight="1" x14ac:dyDescent="0.2">
      <c r="A17" s="490" t="s">
        <v>446</v>
      </c>
      <c r="B17" s="490"/>
      <c r="C17" s="490"/>
      <c r="D17" s="490"/>
      <c r="E17" s="490"/>
      <c r="F17" s="490"/>
      <c r="G17" s="490"/>
      <c r="H17" s="490"/>
      <c r="I17" s="107" t="s">
        <v>447</v>
      </c>
      <c r="J17" s="108" t="s">
        <v>448</v>
      </c>
    </row>
    <row r="18" spans="1:13" ht="16.5" customHeight="1" x14ac:dyDescent="0.2">
      <c r="A18" s="507" t="str">
        <f>IF($J$20=$A$167,"Encargos Sociais incidentes sobre a mão de obra","Administração Central")</f>
        <v>Administração Central</v>
      </c>
      <c r="B18" s="507"/>
      <c r="C18" s="507"/>
      <c r="D18" s="507"/>
      <c r="E18" s="507"/>
      <c r="F18" s="507"/>
      <c r="G18" s="507"/>
      <c r="H18" s="507"/>
      <c r="I18" s="109" t="s">
        <v>449</v>
      </c>
      <c r="J18" s="110">
        <v>0.03</v>
      </c>
    </row>
    <row r="19" spans="1:13" ht="16.5" customHeight="1" x14ac:dyDescent="0.2">
      <c r="A19" s="507" t="str">
        <f>IF($J$20=$A$167,"Administração Central da empresa ou consultoria - overhead","Seguro e Garantia")</f>
        <v>Seguro e Garantia</v>
      </c>
      <c r="B19" s="507"/>
      <c r="C19" s="507"/>
      <c r="D19" s="507"/>
      <c r="E19" s="507"/>
      <c r="F19" s="507"/>
      <c r="G19" s="507"/>
      <c r="H19" s="507"/>
      <c r="I19" s="109" t="s">
        <v>450</v>
      </c>
      <c r="J19" s="110">
        <v>8.0000000000000002E-3</v>
      </c>
    </row>
    <row r="20" spans="1:13" ht="16.5" customHeight="1" x14ac:dyDescent="0.2">
      <c r="A20" s="507" t="str">
        <f>IF($J$20=$A$167,"","Risco")</f>
        <v>Risco</v>
      </c>
      <c r="B20" s="507"/>
      <c r="C20" s="507"/>
      <c r="D20" s="507"/>
      <c r="E20" s="507"/>
      <c r="F20" s="507"/>
      <c r="G20" s="507"/>
      <c r="H20" s="507"/>
      <c r="I20" s="109" t="s">
        <v>451</v>
      </c>
      <c r="J20" s="110">
        <v>9.7000000000000003E-3</v>
      </c>
    </row>
    <row r="21" spans="1:13" ht="16.5" customHeight="1" x14ac:dyDescent="0.2">
      <c r="A21" s="507" t="str">
        <f>IF($J$20=$A$167,"","Despesas Financeiras")</f>
        <v>Despesas Financeiras</v>
      </c>
      <c r="B21" s="507"/>
      <c r="C21" s="507"/>
      <c r="D21" s="507"/>
      <c r="E21" s="507"/>
      <c r="F21" s="507"/>
      <c r="G21" s="507"/>
      <c r="H21" s="507"/>
      <c r="I21" s="109" t="s">
        <v>452</v>
      </c>
      <c r="J21" s="110">
        <v>5.8999999999999999E-3</v>
      </c>
    </row>
    <row r="22" spans="1:13" ht="16.5" customHeight="1" x14ac:dyDescent="0.2">
      <c r="A22" s="507" t="str">
        <f>IF($J$20=$A$167,"Margem bruta da empresa de consultoria","Lucro")</f>
        <v>Lucro</v>
      </c>
      <c r="B22" s="507"/>
      <c r="C22" s="507"/>
      <c r="D22" s="507"/>
      <c r="E22" s="507"/>
      <c r="F22" s="507"/>
      <c r="G22" s="507"/>
      <c r="H22" s="507"/>
      <c r="I22" s="109" t="s">
        <v>453</v>
      </c>
      <c r="J22" s="110">
        <v>6.1600000000000002E-2</v>
      </c>
    </row>
    <row r="23" spans="1:13" ht="16.5" customHeight="1" x14ac:dyDescent="0.2">
      <c r="A23" s="507" t="s">
        <v>454</v>
      </c>
      <c r="B23" s="507"/>
      <c r="C23" s="507"/>
      <c r="D23" s="507"/>
      <c r="E23" s="507"/>
      <c r="F23" s="507"/>
      <c r="G23" s="507"/>
      <c r="H23" s="507"/>
      <c r="I23" s="109" t="s">
        <v>455</v>
      </c>
      <c r="J23" s="110">
        <v>3.6499999999999998E-2</v>
      </c>
    </row>
    <row r="24" spans="1:13" ht="16.5" customHeight="1" x14ac:dyDescent="0.2">
      <c r="A24" s="507" t="s">
        <v>456</v>
      </c>
      <c r="B24" s="507"/>
      <c r="C24" s="507"/>
      <c r="D24" s="507"/>
      <c r="E24" s="507"/>
      <c r="F24" s="507"/>
      <c r="G24" s="507"/>
      <c r="H24" s="507"/>
      <c r="I24" s="109" t="s">
        <v>457</v>
      </c>
      <c r="J24" s="111">
        <f>I10*I9</f>
        <v>4.5000000000000005E-2</v>
      </c>
    </row>
    <row r="25" spans="1:13" ht="16.5" customHeight="1" x14ac:dyDescent="0.2">
      <c r="A25" s="507" t="s">
        <v>458</v>
      </c>
      <c r="B25" s="507"/>
      <c r="C25" s="507"/>
      <c r="D25" s="507"/>
      <c r="E25" s="507"/>
      <c r="F25" s="507"/>
      <c r="G25" s="507"/>
      <c r="H25" s="507"/>
      <c r="I25" s="109" t="s">
        <v>459</v>
      </c>
      <c r="J25" s="111">
        <v>4.4999999999999998E-2</v>
      </c>
    </row>
    <row r="26" spans="1:13" ht="16.5" customHeight="1" x14ac:dyDescent="0.2">
      <c r="A26" s="507" t="s">
        <v>460</v>
      </c>
      <c r="B26" s="507"/>
      <c r="C26" s="507"/>
      <c r="D26" s="507"/>
      <c r="E26" s="507"/>
      <c r="F26" s="507"/>
      <c r="G26" s="507"/>
      <c r="H26" s="507"/>
      <c r="I26" s="112" t="s">
        <v>461</v>
      </c>
      <c r="J26" s="111">
        <f>(((1+J18+J19+J20)*(1+J21)*(1+J22))/(1-(J23+J24)))-1</f>
        <v>0.21807351778769757</v>
      </c>
      <c r="L26" s="113"/>
    </row>
    <row r="27" spans="1:13" ht="16.5" customHeight="1" x14ac:dyDescent="0.2">
      <c r="A27" s="508" t="s">
        <v>462</v>
      </c>
      <c r="B27" s="508"/>
      <c r="C27" s="508"/>
      <c r="D27" s="508"/>
      <c r="E27" s="508"/>
      <c r="F27" s="508"/>
      <c r="G27" s="508"/>
      <c r="H27" s="508"/>
      <c r="I27" s="114" t="s">
        <v>463</v>
      </c>
      <c r="J27" s="115">
        <f>(((1+(J18+J19+J20))*(1+J21)*(1+J22))/(1-(J23+J24+J25)))-1</f>
        <v>0.28082487245334908</v>
      </c>
    </row>
    <row r="28" spans="1:13" ht="16.5" customHeight="1" x14ac:dyDescent="0.2">
      <c r="A28" s="509"/>
      <c r="B28" s="510"/>
      <c r="C28" s="510"/>
      <c r="D28" s="510"/>
      <c r="E28" s="510"/>
      <c r="F28" s="510"/>
      <c r="G28" s="510"/>
      <c r="H28" s="510"/>
      <c r="I28" s="510"/>
      <c r="J28" s="511"/>
    </row>
    <row r="29" spans="1:13" ht="16.5" customHeight="1" x14ac:dyDescent="0.2">
      <c r="A29" s="504" t="s">
        <v>464</v>
      </c>
      <c r="B29" s="505"/>
      <c r="C29" s="505"/>
      <c r="D29" s="505"/>
      <c r="E29" s="505"/>
      <c r="F29" s="505"/>
      <c r="G29" s="505"/>
      <c r="H29" s="505"/>
      <c r="I29" s="505"/>
      <c r="J29" s="506"/>
      <c r="L29" s="113">
        <f>(1+J18+J19+J20)*(1+J21)*(1+J22)</f>
        <v>1.1188005260880003</v>
      </c>
      <c r="M29" s="113">
        <f>(L29/L30)-1</f>
        <v>0.28082487245334908</v>
      </c>
    </row>
    <row r="30" spans="1:13" ht="16.5" customHeight="1" x14ac:dyDescent="0.2">
      <c r="A30" s="504"/>
      <c r="B30" s="505"/>
      <c r="C30" s="505"/>
      <c r="D30" s="505"/>
      <c r="E30" s="505"/>
      <c r="F30" s="505"/>
      <c r="G30" s="505"/>
      <c r="H30" s="505"/>
      <c r="I30" s="505"/>
      <c r="J30" s="506"/>
      <c r="L30" s="113">
        <f>(1-J23-J24-J25)</f>
        <v>0.87349999999999994</v>
      </c>
    </row>
    <row r="31" spans="1:13" ht="16.5" customHeight="1" x14ac:dyDescent="0.2">
      <c r="A31" s="504"/>
      <c r="B31" s="505"/>
      <c r="C31" s="505"/>
      <c r="D31" s="505"/>
      <c r="E31" s="505"/>
      <c r="F31" s="505"/>
      <c r="G31" s="505"/>
      <c r="H31" s="505"/>
      <c r="I31" s="505"/>
      <c r="J31" s="506"/>
    </row>
    <row r="32" spans="1:13" ht="16.5" customHeight="1" x14ac:dyDescent="0.2">
      <c r="A32" s="504"/>
      <c r="B32" s="505"/>
      <c r="C32" s="505"/>
      <c r="D32" s="505"/>
      <c r="E32" s="505"/>
      <c r="F32" s="505"/>
      <c r="G32" s="505"/>
      <c r="H32" s="505"/>
      <c r="I32" s="505"/>
      <c r="J32" s="506"/>
    </row>
    <row r="33" spans="1:10" ht="16.5" customHeight="1" x14ac:dyDescent="0.2">
      <c r="A33" s="504"/>
      <c r="B33" s="505"/>
      <c r="C33" s="505"/>
      <c r="D33" s="505"/>
      <c r="E33" s="505"/>
      <c r="F33" s="505"/>
      <c r="G33" s="505"/>
      <c r="H33" s="505"/>
      <c r="I33" s="505"/>
      <c r="J33" s="506"/>
    </row>
    <row r="34" spans="1:10" ht="16.5" customHeight="1" x14ac:dyDescent="0.2">
      <c r="A34" s="512" t="str">
        <f>CONCATENATE("Declaro para os devidos fins que, conforme legislação tributária municipal, a base de cálculo deste tipo de obra corresponde à ",$I$9*100,"%, com a respectiva alíquota de ",$I$10*100,"%.")</f>
        <v>Declaro para os devidos fins que, conforme legislação tributária municipal, a base de cálculo deste tipo de obra corresponde à 90%, com a respectiva alíquota de 5%.</v>
      </c>
      <c r="B34" s="512"/>
      <c r="C34" s="512"/>
      <c r="D34" s="512"/>
      <c r="E34" s="512"/>
      <c r="F34" s="512"/>
      <c r="G34" s="512"/>
      <c r="H34" s="512"/>
      <c r="I34" s="512"/>
      <c r="J34" s="512"/>
    </row>
    <row r="35" spans="1:10" ht="16.5" customHeight="1" x14ac:dyDescent="0.2">
      <c r="A35" s="512"/>
      <c r="B35" s="512"/>
      <c r="C35" s="512"/>
      <c r="D35" s="512"/>
      <c r="E35" s="512"/>
      <c r="F35" s="512"/>
      <c r="G35" s="512"/>
      <c r="H35" s="512"/>
      <c r="I35" s="512"/>
      <c r="J35" s="512"/>
    </row>
    <row r="36" spans="1:10" ht="16.5" customHeight="1" x14ac:dyDescent="0.2">
      <c r="A36" s="512"/>
      <c r="B36" s="512"/>
      <c r="C36" s="512"/>
      <c r="D36" s="512"/>
      <c r="E36" s="512"/>
      <c r="F36" s="512"/>
      <c r="G36" s="512"/>
      <c r="H36" s="512"/>
      <c r="I36" s="512"/>
      <c r="J36" s="512"/>
    </row>
    <row r="37" spans="1:10" ht="16.5" customHeight="1" x14ac:dyDescent="0.2">
      <c r="A37" s="116"/>
      <c r="B37" s="117"/>
      <c r="C37" s="117"/>
      <c r="D37" s="117"/>
      <c r="E37" s="117"/>
      <c r="F37" s="117"/>
      <c r="G37" s="117"/>
      <c r="H37" s="117"/>
      <c r="I37" s="117"/>
      <c r="J37" s="118"/>
    </row>
    <row r="38" spans="1:10" ht="16.5" customHeight="1" x14ac:dyDescent="0.2">
      <c r="A38" s="512" t="str">
        <f>"Declaro para os devidos fins que o regime de Contribuição Previdenciária sobre a Receita Bruta adotado para elaboração do orçamento foi COM Desoneração, e que esta é a alternativa mais adequada para a Administração Pública."</f>
        <v>Declaro para os devidos fins que o regime de Contribuição Previdenciária sobre a Receita Bruta adotado para elaboração do orçamento foi COM Desoneração, e que esta é a alternativa mais adequada para a Administração Pública.</v>
      </c>
      <c r="B38" s="512"/>
      <c r="C38" s="512"/>
      <c r="D38" s="512"/>
      <c r="E38" s="512"/>
      <c r="F38" s="512"/>
      <c r="G38" s="512"/>
      <c r="H38" s="512"/>
      <c r="I38" s="512"/>
      <c r="J38" s="512"/>
    </row>
    <row r="39" spans="1:10" ht="16.5" customHeight="1" x14ac:dyDescent="0.2">
      <c r="A39" s="512"/>
      <c r="B39" s="512"/>
      <c r="C39" s="512"/>
      <c r="D39" s="512"/>
      <c r="E39" s="512"/>
      <c r="F39" s="512"/>
      <c r="G39" s="512"/>
      <c r="H39" s="512"/>
      <c r="I39" s="512"/>
      <c r="J39" s="512"/>
    </row>
    <row r="40" spans="1:10" ht="16.5" customHeight="1" x14ac:dyDescent="0.2">
      <c r="A40" s="512"/>
      <c r="B40" s="512"/>
      <c r="C40" s="512"/>
      <c r="D40" s="512"/>
      <c r="E40" s="512"/>
      <c r="F40" s="512"/>
      <c r="G40" s="512"/>
      <c r="H40" s="512"/>
      <c r="I40" s="512"/>
      <c r="J40" s="512"/>
    </row>
    <row r="41" spans="1:10" ht="16.5" customHeight="1" x14ac:dyDescent="0.2">
      <c r="A41" s="116"/>
      <c r="B41" s="117"/>
      <c r="C41" s="117"/>
      <c r="D41" s="117"/>
      <c r="E41" s="117"/>
      <c r="F41" s="117"/>
      <c r="G41" s="117"/>
      <c r="H41" s="117"/>
      <c r="I41" s="117"/>
      <c r="J41" s="118"/>
    </row>
    <row r="42" spans="1:10" ht="16.5" customHeight="1" x14ac:dyDescent="0.2">
      <c r="A42" s="116" t="s">
        <v>160</v>
      </c>
      <c r="B42" s="117"/>
      <c r="C42" s="117"/>
      <c r="D42" s="117"/>
      <c r="E42" s="117"/>
      <c r="F42" s="117"/>
      <c r="G42" s="117"/>
      <c r="H42" s="117"/>
      <c r="I42" s="117"/>
      <c r="J42" s="118"/>
    </row>
    <row r="43" spans="1:10" ht="16.5" customHeight="1" x14ac:dyDescent="0.2">
      <c r="A43" s="513"/>
      <c r="B43" s="513"/>
      <c r="C43" s="513"/>
      <c r="D43" s="513"/>
      <c r="E43" s="513"/>
      <c r="F43" s="513"/>
      <c r="G43" s="513"/>
      <c r="H43" s="513"/>
      <c r="I43" s="513"/>
      <c r="J43" s="513"/>
    </row>
    <row r="44" spans="1:10" ht="16.5" customHeight="1" x14ac:dyDescent="0.2">
      <c r="A44" s="513"/>
      <c r="B44" s="513"/>
      <c r="C44" s="513"/>
      <c r="D44" s="513"/>
      <c r="E44" s="513"/>
      <c r="F44" s="513"/>
      <c r="G44" s="513"/>
      <c r="H44" s="513"/>
      <c r="I44" s="513"/>
      <c r="J44" s="513"/>
    </row>
    <row r="45" spans="1:10" ht="16.5" customHeight="1" x14ac:dyDescent="0.2">
      <c r="A45" s="513"/>
      <c r="B45" s="513"/>
      <c r="C45" s="513"/>
      <c r="D45" s="513"/>
      <c r="E45" s="513"/>
      <c r="F45" s="513"/>
      <c r="G45" s="513"/>
      <c r="H45" s="513"/>
      <c r="I45" s="513"/>
      <c r="J45" s="513"/>
    </row>
    <row r="46" spans="1:10" ht="16.5" customHeight="1" x14ac:dyDescent="0.2">
      <c r="A46" s="513"/>
      <c r="B46" s="513"/>
      <c r="C46" s="513"/>
      <c r="D46" s="513"/>
      <c r="E46" s="513"/>
      <c r="F46" s="513"/>
      <c r="G46" s="513"/>
      <c r="H46" s="513"/>
      <c r="I46" s="513"/>
      <c r="J46" s="513"/>
    </row>
    <row r="47" spans="1:10" ht="16.5" customHeight="1" x14ac:dyDescent="0.2">
      <c r="A47" s="513"/>
      <c r="B47" s="513"/>
      <c r="C47" s="513"/>
      <c r="D47" s="513"/>
      <c r="E47" s="513"/>
      <c r="F47" s="513"/>
      <c r="G47" s="513"/>
      <c r="H47" s="513"/>
      <c r="I47" s="513"/>
      <c r="J47" s="513"/>
    </row>
    <row r="48" spans="1:10" ht="16.5" customHeight="1" x14ac:dyDescent="0.2">
      <c r="A48" s="513"/>
      <c r="B48" s="513"/>
      <c r="C48" s="513"/>
      <c r="D48" s="513"/>
      <c r="E48" s="513"/>
      <c r="F48" s="513"/>
      <c r="G48" s="513"/>
      <c r="H48" s="513"/>
      <c r="I48" s="513"/>
      <c r="J48" s="513"/>
    </row>
    <row r="49" spans="1:10" ht="16.5" customHeight="1" x14ac:dyDescent="0.2">
      <c r="A49" s="513"/>
      <c r="B49" s="513"/>
      <c r="C49" s="513"/>
      <c r="D49" s="513"/>
      <c r="E49" s="513"/>
      <c r="F49" s="513"/>
      <c r="G49" s="513"/>
      <c r="H49" s="513"/>
      <c r="I49" s="513"/>
      <c r="J49" s="513"/>
    </row>
    <row r="50" spans="1:10" ht="16.5" customHeight="1" x14ac:dyDescent="0.2">
      <c r="A50" s="514"/>
      <c r="B50" s="515"/>
      <c r="C50" s="515"/>
      <c r="D50" s="515"/>
      <c r="E50" s="515"/>
      <c r="F50" s="515"/>
      <c r="G50" s="515"/>
      <c r="H50" s="515"/>
      <c r="I50" s="515"/>
      <c r="J50" s="516"/>
    </row>
    <row r="51" spans="1:10" ht="16.5" customHeight="1" x14ac:dyDescent="0.2">
      <c r="A51" s="514"/>
      <c r="B51" s="515"/>
      <c r="C51" s="515"/>
      <c r="D51" s="515"/>
      <c r="E51" s="515"/>
      <c r="F51" s="515"/>
      <c r="G51" s="515"/>
      <c r="H51" s="515"/>
      <c r="I51" s="515"/>
      <c r="J51" s="516"/>
    </row>
    <row r="52" spans="1:10" ht="16.5" customHeight="1" x14ac:dyDescent="0.2">
      <c r="A52" s="517"/>
      <c r="B52" s="518"/>
      <c r="C52" s="518"/>
      <c r="D52" s="518"/>
      <c r="E52" s="518"/>
      <c r="F52" s="518"/>
      <c r="G52" s="518"/>
      <c r="H52" s="518"/>
      <c r="I52" s="518"/>
      <c r="J52" s="519"/>
    </row>
    <row r="53" spans="1:10" ht="16.5" customHeight="1" x14ac:dyDescent="0.2"/>
    <row r="54" spans="1:10" ht="16.5" customHeight="1" x14ac:dyDescent="0.2"/>
    <row r="55" spans="1:10" ht="16.5" customHeight="1" x14ac:dyDescent="0.2"/>
    <row r="56" spans="1:10" ht="16.5" customHeight="1" x14ac:dyDescent="0.2"/>
    <row r="57" spans="1:10" ht="16.5" customHeight="1" x14ac:dyDescent="0.2"/>
    <row r="58" spans="1:10" ht="16.5" customHeight="1" x14ac:dyDescent="0.2"/>
    <row r="59" spans="1:10" ht="16.5" customHeight="1" x14ac:dyDescent="0.2"/>
    <row r="60" spans="1:10" ht="16.5" customHeight="1" x14ac:dyDescent="0.2"/>
    <row r="61" spans="1:10" ht="16.5" customHeight="1" x14ac:dyDescent="0.2"/>
    <row r="62" spans="1:10" ht="16.5" customHeight="1" x14ac:dyDescent="0.2"/>
    <row r="63" spans="1:10" ht="16.5" customHeight="1" x14ac:dyDescent="0.2"/>
    <row r="64" spans="1:10" ht="16.5" customHeight="1" x14ac:dyDescent="0.2">
      <c r="A64" s="121" t="s">
        <v>465</v>
      </c>
    </row>
    <row r="65" ht="16.5" customHeight="1" x14ac:dyDescent="0.2"/>
    <row r="66" ht="16.5" customHeight="1" x14ac:dyDescent="0.2"/>
    <row r="67" ht="16.5" customHeight="1" x14ac:dyDescent="0.2"/>
    <row r="68" ht="16.5" customHeight="1" x14ac:dyDescent="0.2"/>
    <row r="69" ht="16.5" customHeight="1" x14ac:dyDescent="0.2"/>
    <row r="70" ht="16.5" customHeight="1" x14ac:dyDescent="0.2"/>
    <row r="71" ht="16.5" customHeight="1" x14ac:dyDescent="0.2"/>
    <row r="72" ht="16.5" customHeight="1" x14ac:dyDescent="0.2"/>
    <row r="73" ht="16.5" customHeight="1" x14ac:dyDescent="0.2"/>
  </sheetData>
  <mergeCells count="30">
    <mergeCell ref="A30:J33"/>
    <mergeCell ref="A34:J36"/>
    <mergeCell ref="A38:J40"/>
    <mergeCell ref="A43:J49"/>
    <mergeCell ref="A50:J52"/>
    <mergeCell ref="A29:J29"/>
    <mergeCell ref="A18:H18"/>
    <mergeCell ref="A19:H19"/>
    <mergeCell ref="A20:H20"/>
    <mergeCell ref="A21:H21"/>
    <mergeCell ref="A22:H22"/>
    <mergeCell ref="A23:H23"/>
    <mergeCell ref="A24:H24"/>
    <mergeCell ref="A25:H25"/>
    <mergeCell ref="A26:H26"/>
    <mergeCell ref="A27:H27"/>
    <mergeCell ref="A28:J28"/>
    <mergeCell ref="A17:H17"/>
    <mergeCell ref="A1:J3"/>
    <mergeCell ref="A4:J4"/>
    <mergeCell ref="A5:J5"/>
    <mergeCell ref="B6:I6"/>
    <mergeCell ref="A7:J7"/>
    <mergeCell ref="A9:H9"/>
    <mergeCell ref="I9:J9"/>
    <mergeCell ref="A10:H10"/>
    <mergeCell ref="I10:J10"/>
    <mergeCell ref="A12:J12"/>
    <mergeCell ref="A14:J14"/>
    <mergeCell ref="A15:J15"/>
  </mergeCells>
  <conditionalFormatting sqref="A27:I27 A28">
    <cfRule type="expression" dxfId="2" priority="3" stopIfTrue="1">
      <formula>DESONERACAO="não"</formula>
    </cfRule>
  </conditionalFormatting>
  <conditionalFormatting sqref="J27">
    <cfRule type="expression" dxfId="1" priority="2" stopIfTrue="1">
      <formula>DESONERACAO="não"</formula>
    </cfRule>
  </conditionalFormatting>
  <conditionalFormatting sqref="J26">
    <cfRule type="expression" dxfId="0" priority="1" stopIfTrue="1">
      <formula>DESONERACAO="não"</formula>
    </cfRule>
  </conditionalFormatting>
  <dataValidations count="5">
    <dataValidation type="decimal" allowBlank="1" showErrorMessage="1" errorTitle="Erro de valores" error="Digite um valor entre 0% e 100%" sqref="J18:J23 J65553:J65558 J131089:J131094 J196625:J196630 J262161:J262166 J327697:J327702 J393233:J393238 J458769:J458774 J524305:J524310 J589841:J589846 J655377:J655382 J720913:J720918 J786449:J786454 J851985:J851990 J917521:J917526 J983057:J983062">
      <formula1>0</formula1>
      <formula2>1</formula2>
    </dataValidation>
    <dataValidation type="decimal" allowBlank="1" showErrorMessage="1" errorTitle="Erro de valores" error="Digite um valor maior do que 0." sqref="J24 J65559 J131095 J196631 J262167 J327703 J393239 J458775 J524311 J589847 J655383 J720919 J786455 J851991 J917527 J983063">
      <formula1>0</formula1>
      <formula2>1</formula2>
    </dataValidation>
    <dataValidation operator="greaterThanOrEqual" allowBlank="1" showErrorMessage="1" errorTitle="Erro de valores" error="Digite um valor igual a 0% ou 2%." sqref="J25 J65560 J131096 J196632 J262168 J327704 J393240 J458776 J524312 J589848 J655384 J720920 J786456 J851992 J917528 J983064">
      <formula1>0</formula1>
      <formula2>0</formula2>
    </dataValidation>
    <dataValidation type="decimal" operator="greaterThanOrEqual" allowBlank="1" showInputMessage="1" showErrorMessage="1" errorTitle="Valor não permitido" error="Digite um percentual entre 0% e 100%." promptTitle="Valores comuns:" prompt="Normalmente entre 2 e 5%." sqref="I10:J10 I65545:J65545 I131081:J131081 I196617:J196617 I262153:J262153 I327689:J327689 I393225:J393225 I458761:J458761 I524297:J524297 I589833:J589833 I655369:J655369 I720905:J720905 I786441:J786441 I851977:J851977 I917513:J917513 I983049:J983049">
      <formula1>0</formula1>
      <formula2>0</formula2>
    </dataValidation>
    <dataValidation type="decimal" allowBlank="1" showInputMessage="1" showErrorMessage="1" errorTitle="Valor não permitido" error="Digite um percentual entre 0% e 100%." promptTitle="Valores admissíveis:" prompt="Insira valores entre 0 e 100%." sqref="I9:J9 I65544:J65544 I131080:J131080 I196616:J196616 I262152:J262152 I327688:J327688 I393224:J393224 I458760:J458760 I524296:J524296 I589832:J589832 I655368:J655368 I720904:J720904 I786440:J786440 I851976:J851976 I917512:J917512 I983048:J983048">
      <formula1>0</formula1>
      <formula2>1</formula2>
    </dataValidation>
  </dataValidations>
  <pageMargins left="0.511811024" right="0.511811024" top="0.78740157499999996" bottom="0.78740157499999996" header="0.31496062000000002" footer="0.31496062000000002"/>
  <pageSetup paperSize="9" scale="58" fitToHeight="0" orientation="portrait" verticalDpi="0" r:id="rId1"/>
  <colBreaks count="1" manualBreakCount="1">
    <brk id="10"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014"/>
  <sheetViews>
    <sheetView tabSelected="1" view="pageBreakPreview" topLeftCell="A10" zoomScaleNormal="100" zoomScaleSheetLayoutView="100" workbookViewId="0">
      <selection activeCell="B41" sqref="B41:B42"/>
    </sheetView>
  </sheetViews>
  <sheetFormatPr defaultColWidth="9" defaultRowHeight="15" customHeight="1" x14ac:dyDescent="0.2"/>
  <cols>
    <col min="1" max="1" width="9.140625" style="32" customWidth="1"/>
    <col min="2" max="2" width="45.140625" style="32" customWidth="1"/>
    <col min="3" max="3" width="14" style="32" customWidth="1"/>
    <col min="4" max="4" width="12.42578125" style="32" bestFit="1" customWidth="1"/>
    <col min="5" max="15" width="12.140625" style="32" bestFit="1" customWidth="1"/>
    <col min="16" max="16" width="15.85546875" style="32" bestFit="1" customWidth="1"/>
    <col min="17" max="17" width="15.85546875" bestFit="1" customWidth="1"/>
    <col min="18" max="18" width="13.28515625" bestFit="1" customWidth="1"/>
    <col min="19" max="23" width="8" customWidth="1"/>
    <col min="24" max="253" width="12" customWidth="1"/>
  </cols>
  <sheetData>
    <row r="1" spans="1:23" ht="16.5" customHeight="1" x14ac:dyDescent="0.2">
      <c r="A1" s="520" t="s">
        <v>647</v>
      </c>
      <c r="B1" s="521"/>
      <c r="C1" s="521"/>
      <c r="D1" s="521"/>
      <c r="E1" s="521"/>
      <c r="F1" s="521"/>
      <c r="G1" s="521"/>
      <c r="H1" s="521"/>
      <c r="I1" s="521"/>
      <c r="J1" s="521"/>
      <c r="K1" s="521"/>
      <c r="L1" s="521"/>
      <c r="M1" s="521"/>
      <c r="N1" s="521"/>
      <c r="O1" s="521"/>
      <c r="P1" s="522"/>
      <c r="Q1" s="27"/>
      <c r="R1" s="27"/>
      <c r="S1" s="27"/>
      <c r="T1" s="27"/>
      <c r="U1" s="27"/>
      <c r="V1" s="27"/>
      <c r="W1" s="27"/>
    </row>
    <row r="2" spans="1:23" ht="16.5" customHeight="1" x14ac:dyDescent="0.2">
      <c r="A2" s="523"/>
      <c r="B2" s="524"/>
      <c r="C2" s="524"/>
      <c r="D2" s="524"/>
      <c r="E2" s="524"/>
      <c r="F2" s="524"/>
      <c r="G2" s="524"/>
      <c r="H2" s="524"/>
      <c r="I2" s="524"/>
      <c r="J2" s="524"/>
      <c r="K2" s="524"/>
      <c r="L2" s="524"/>
      <c r="M2" s="524"/>
      <c r="N2" s="524"/>
      <c r="O2" s="524"/>
      <c r="P2" s="525"/>
      <c r="Q2" s="27"/>
      <c r="R2" s="27"/>
      <c r="S2" s="27"/>
      <c r="T2" s="27"/>
      <c r="U2" s="27"/>
      <c r="V2" s="27"/>
      <c r="W2" s="27"/>
    </row>
    <row r="3" spans="1:23" ht="16.5" customHeight="1" x14ac:dyDescent="0.2">
      <c r="A3" s="526"/>
      <c r="B3" s="527"/>
      <c r="C3" s="527"/>
      <c r="D3" s="527"/>
      <c r="E3" s="527"/>
      <c r="F3" s="527"/>
      <c r="G3" s="527"/>
      <c r="H3" s="527"/>
      <c r="I3" s="527"/>
      <c r="J3" s="527"/>
      <c r="K3" s="527"/>
      <c r="L3" s="527"/>
      <c r="M3" s="527"/>
      <c r="N3" s="527"/>
      <c r="O3" s="527"/>
      <c r="P3" s="528"/>
      <c r="Q3" s="27"/>
      <c r="R3" s="27"/>
      <c r="S3" s="27"/>
      <c r="T3" s="27"/>
      <c r="U3" s="27"/>
      <c r="V3" s="27"/>
      <c r="W3" s="27"/>
    </row>
    <row r="4" spans="1:23" ht="18.75" customHeight="1" x14ac:dyDescent="0.2">
      <c r="A4" s="545" t="s">
        <v>0</v>
      </c>
      <c r="B4" s="546"/>
      <c r="C4" s="546"/>
      <c r="D4" s="546"/>
      <c r="E4" s="546"/>
      <c r="F4" s="546"/>
      <c r="G4" s="546"/>
      <c r="H4" s="546"/>
      <c r="I4" s="546"/>
      <c r="J4" s="546"/>
      <c r="K4" s="546"/>
      <c r="L4" s="546"/>
      <c r="M4" s="546"/>
      <c r="N4" s="546"/>
      <c r="O4" s="546"/>
      <c r="P4" s="547"/>
      <c r="Q4" s="27"/>
      <c r="R4" s="27"/>
      <c r="S4" s="27"/>
      <c r="T4" s="27"/>
      <c r="U4" s="27"/>
      <c r="V4" s="27"/>
      <c r="W4" s="27"/>
    </row>
    <row r="5" spans="1:23" ht="16.5" customHeight="1" x14ac:dyDescent="0.2">
      <c r="A5" s="529" t="s">
        <v>2</v>
      </c>
      <c r="B5" s="531" t="str">
        <f>'Planilha orçamentária'!C6</f>
        <v>Construção Condomínio (112 apartamentos)</v>
      </c>
      <c r="C5" s="532"/>
      <c r="D5" s="532"/>
      <c r="E5" s="532"/>
      <c r="F5" s="532"/>
      <c r="G5" s="532"/>
      <c r="H5" s="532"/>
      <c r="I5" s="532"/>
      <c r="J5" s="532"/>
      <c r="K5" s="532"/>
      <c r="L5" s="533"/>
      <c r="M5" s="539" t="str">
        <f>'Planilha orçamentária'!G6</f>
        <v>BDI:</v>
      </c>
      <c r="N5" s="541">
        <f>'Planilha orçamentária'!H6</f>
        <v>0.28082487245334908</v>
      </c>
      <c r="O5" s="537">
        <f ca="1">'Planilha orçamentária'!I6</f>
        <v>45075</v>
      </c>
      <c r="P5" s="538"/>
      <c r="Q5" s="27"/>
      <c r="R5" s="27"/>
      <c r="S5" s="27"/>
      <c r="T5" s="27"/>
      <c r="U5" s="27"/>
      <c r="V5" s="27"/>
      <c r="W5" s="27"/>
    </row>
    <row r="6" spans="1:23" ht="16.5" customHeight="1" x14ac:dyDescent="0.2">
      <c r="A6" s="530"/>
      <c r="B6" s="534"/>
      <c r="C6" s="535"/>
      <c r="D6" s="535"/>
      <c r="E6" s="535"/>
      <c r="F6" s="535"/>
      <c r="G6" s="535"/>
      <c r="H6" s="535"/>
      <c r="I6" s="535"/>
      <c r="J6" s="535"/>
      <c r="K6" s="535"/>
      <c r="L6" s="536"/>
      <c r="M6" s="540"/>
      <c r="N6" s="540"/>
      <c r="O6" s="538"/>
      <c r="P6" s="538"/>
      <c r="Q6" s="27"/>
      <c r="R6" s="27"/>
      <c r="S6" s="27"/>
      <c r="T6" s="27"/>
      <c r="U6" s="27"/>
      <c r="V6" s="27"/>
      <c r="W6" s="27"/>
    </row>
    <row r="7" spans="1:23" ht="18.75" customHeight="1" x14ac:dyDescent="0.2">
      <c r="A7" s="542" t="s">
        <v>189</v>
      </c>
      <c r="B7" s="543"/>
      <c r="C7" s="543"/>
      <c r="D7" s="543"/>
      <c r="E7" s="543"/>
      <c r="F7" s="543"/>
      <c r="G7" s="543"/>
      <c r="H7" s="543"/>
      <c r="I7" s="543"/>
      <c r="J7" s="543"/>
      <c r="K7" s="543"/>
      <c r="L7" s="543"/>
      <c r="M7" s="543"/>
      <c r="N7" s="543"/>
      <c r="O7" s="543"/>
      <c r="P7" s="544"/>
      <c r="Q7" s="27"/>
      <c r="R7" s="27"/>
      <c r="S7" s="27"/>
      <c r="T7" s="27"/>
      <c r="U7" s="27"/>
      <c r="V7" s="27"/>
      <c r="W7" s="27"/>
    </row>
    <row r="8" spans="1:23" ht="26.25" customHeight="1" x14ac:dyDescent="0.2">
      <c r="A8" s="253" t="s">
        <v>190</v>
      </c>
      <c r="B8" s="251" t="s">
        <v>191</v>
      </c>
      <c r="C8" s="252" t="s">
        <v>192</v>
      </c>
      <c r="D8" s="251" t="s">
        <v>193</v>
      </c>
      <c r="E8" s="253" t="s">
        <v>194</v>
      </c>
      <c r="F8" s="253" t="s">
        <v>195</v>
      </c>
      <c r="G8" s="253" t="s">
        <v>196</v>
      </c>
      <c r="H8" s="253" t="s">
        <v>197</v>
      </c>
      <c r="I8" s="253" t="s">
        <v>198</v>
      </c>
      <c r="J8" s="253" t="s">
        <v>199</v>
      </c>
      <c r="K8" s="253" t="s">
        <v>200</v>
      </c>
      <c r="L8" s="253" t="s">
        <v>201</v>
      </c>
      <c r="M8" s="253" t="s">
        <v>202</v>
      </c>
      <c r="N8" s="254" t="s">
        <v>203</v>
      </c>
      <c r="O8" s="253" t="s">
        <v>204</v>
      </c>
      <c r="P8" s="39" t="s">
        <v>205</v>
      </c>
      <c r="Q8" s="27"/>
      <c r="R8" s="27"/>
      <c r="S8" s="27"/>
      <c r="T8" s="27"/>
      <c r="U8" s="27"/>
      <c r="V8" s="27"/>
      <c r="W8" s="27"/>
    </row>
    <row r="9" spans="1:23" ht="19.5" customHeight="1" x14ac:dyDescent="0.2">
      <c r="A9" s="493">
        <v>1</v>
      </c>
      <c r="B9" s="551" t="str">
        <f>'Planilha orçamentária'!D10</f>
        <v>MOBILIZAÇÃO E DESMOBILIZAÇÃO</v>
      </c>
      <c r="C9" s="255" t="s">
        <v>206</v>
      </c>
      <c r="D9" s="256">
        <f>D10/D52</f>
        <v>1.663291844086484E-3</v>
      </c>
      <c r="E9" s="257">
        <v>0.5</v>
      </c>
      <c r="F9" s="257"/>
      <c r="G9" s="257"/>
      <c r="H9" s="257"/>
      <c r="I9" s="257"/>
      <c r="J9" s="257"/>
      <c r="K9" s="257"/>
      <c r="L9" s="257"/>
      <c r="M9" s="257"/>
      <c r="N9" s="258">
        <v>0.5</v>
      </c>
      <c r="O9" s="257"/>
      <c r="P9" s="48"/>
      <c r="Q9" s="243">
        <f t="shared" ref="Q9:Q51" si="0">SUM(E9:O9)</f>
        <v>1</v>
      </c>
      <c r="R9" s="245"/>
      <c r="S9" s="27"/>
      <c r="T9" s="27"/>
      <c r="U9" s="27"/>
      <c r="V9" s="27"/>
      <c r="W9" s="27"/>
    </row>
    <row r="10" spans="1:23" ht="19.5" customHeight="1" x14ac:dyDescent="0.2">
      <c r="A10" s="550"/>
      <c r="B10" s="550"/>
      <c r="C10" s="255" t="s">
        <v>207</v>
      </c>
      <c r="D10" s="259">
        <f>'Planilha orçamentária'!I12</f>
        <v>21890.480934358577</v>
      </c>
      <c r="E10" s="260">
        <f>E9*D10</f>
        <v>10945.240467179288</v>
      </c>
      <c r="F10" s="260">
        <f>F9*D10</f>
        <v>0</v>
      </c>
      <c r="G10" s="260">
        <f>G9*D10</f>
        <v>0</v>
      </c>
      <c r="H10" s="260">
        <f>H9*D10</f>
        <v>0</v>
      </c>
      <c r="I10" s="260">
        <f>I9*D10</f>
        <v>0</v>
      </c>
      <c r="J10" s="260">
        <f>J9*D10</f>
        <v>0</v>
      </c>
      <c r="K10" s="260">
        <f>K9*D10</f>
        <v>0</v>
      </c>
      <c r="L10" s="260">
        <f>L9*D10</f>
        <v>0</v>
      </c>
      <c r="M10" s="260">
        <f>M9*D10</f>
        <v>0</v>
      </c>
      <c r="N10" s="261">
        <f>N9*D10</f>
        <v>10945.240467179288</v>
      </c>
      <c r="O10" s="260"/>
      <c r="P10" s="49"/>
      <c r="Q10" s="244">
        <f t="shared" si="0"/>
        <v>21890.480934358577</v>
      </c>
      <c r="R10" s="245"/>
      <c r="S10" s="27"/>
      <c r="T10" s="27"/>
      <c r="U10" s="27"/>
      <c r="V10" s="27"/>
      <c r="W10" s="27"/>
    </row>
    <row r="11" spans="1:23" ht="19.5" customHeight="1" x14ac:dyDescent="0.2">
      <c r="A11" s="553">
        <v>2</v>
      </c>
      <c r="B11" s="552" t="s">
        <v>19</v>
      </c>
      <c r="C11" s="255" t="s">
        <v>206</v>
      </c>
      <c r="D11" s="256">
        <f>D12/D52</f>
        <v>2.4138090894924084E-2</v>
      </c>
      <c r="E11" s="257">
        <f>1/10</f>
        <v>0.1</v>
      </c>
      <c r="F11" s="257">
        <f t="shared" ref="F11:N11" si="1">1/10</f>
        <v>0.1</v>
      </c>
      <c r="G11" s="257">
        <f t="shared" si="1"/>
        <v>0.1</v>
      </c>
      <c r="H11" s="257">
        <f t="shared" si="1"/>
        <v>0.1</v>
      </c>
      <c r="I11" s="257">
        <f t="shared" si="1"/>
        <v>0.1</v>
      </c>
      <c r="J11" s="257">
        <f t="shared" si="1"/>
        <v>0.1</v>
      </c>
      <c r="K11" s="257">
        <f t="shared" si="1"/>
        <v>0.1</v>
      </c>
      <c r="L11" s="257">
        <f t="shared" si="1"/>
        <v>0.1</v>
      </c>
      <c r="M11" s="257">
        <f t="shared" si="1"/>
        <v>0.1</v>
      </c>
      <c r="N11" s="258">
        <f t="shared" si="1"/>
        <v>0.1</v>
      </c>
      <c r="O11" s="257"/>
      <c r="P11" s="48"/>
      <c r="Q11" s="243">
        <f t="shared" si="0"/>
        <v>0.99999999999999989</v>
      </c>
      <c r="R11" s="245"/>
      <c r="S11" s="27"/>
      <c r="T11" s="27"/>
      <c r="U11" s="27"/>
      <c r="V11" s="27"/>
      <c r="W11" s="27"/>
    </row>
    <row r="12" spans="1:23" ht="19.5" customHeight="1" x14ac:dyDescent="0.2">
      <c r="A12" s="550"/>
      <c r="B12" s="550"/>
      <c r="C12" s="255" t="s">
        <v>207</v>
      </c>
      <c r="D12" s="259">
        <f>'Planilha orçamentária'!I16</f>
        <v>317679.91913491028</v>
      </c>
      <c r="E12" s="260">
        <f>E11*D12</f>
        <v>31767.991913491031</v>
      </c>
      <c r="F12" s="260">
        <f>F11*D12</f>
        <v>31767.991913491031</v>
      </c>
      <c r="G12" s="260">
        <f>G11*D12</f>
        <v>31767.991913491031</v>
      </c>
      <c r="H12" s="260">
        <f>H11*D12</f>
        <v>31767.991913491031</v>
      </c>
      <c r="I12" s="260">
        <f>I11*D12</f>
        <v>31767.991913491031</v>
      </c>
      <c r="J12" s="260">
        <f>J11*D12</f>
        <v>31767.991913491031</v>
      </c>
      <c r="K12" s="260">
        <f>K11*D12</f>
        <v>31767.991913491031</v>
      </c>
      <c r="L12" s="260">
        <f>L11*D12</f>
        <v>31767.991913491031</v>
      </c>
      <c r="M12" s="260">
        <f>M11*D12</f>
        <v>31767.991913491031</v>
      </c>
      <c r="N12" s="261">
        <f>N11*D12</f>
        <v>31767.991913491031</v>
      </c>
      <c r="O12" s="260"/>
      <c r="P12" s="49"/>
      <c r="Q12" s="244">
        <f t="shared" si="0"/>
        <v>317679.91913491039</v>
      </c>
      <c r="R12" s="245"/>
      <c r="S12" s="27"/>
      <c r="T12" s="27"/>
      <c r="U12" s="27"/>
      <c r="V12" s="27"/>
      <c r="W12" s="27"/>
    </row>
    <row r="13" spans="1:23" ht="19.5" customHeight="1" x14ac:dyDescent="0.2">
      <c r="A13" s="553">
        <v>3</v>
      </c>
      <c r="B13" s="552" t="str">
        <f>'Planilha orçamentária'!D17</f>
        <v>SERVIÇOS PRELIMINARES</v>
      </c>
      <c r="C13" s="255" t="s">
        <v>206</v>
      </c>
      <c r="D13" s="256">
        <f>D14/D52</f>
        <v>3.0387126761348064E-3</v>
      </c>
      <c r="E13" s="257">
        <v>1</v>
      </c>
      <c r="F13" s="257"/>
      <c r="G13" s="257"/>
      <c r="H13" s="257"/>
      <c r="I13" s="257"/>
      <c r="J13" s="257"/>
      <c r="K13" s="257"/>
      <c r="L13" s="257"/>
      <c r="M13" s="257"/>
      <c r="N13" s="258"/>
      <c r="O13" s="257"/>
      <c r="P13" s="42"/>
      <c r="Q13" s="243">
        <f t="shared" si="0"/>
        <v>1</v>
      </c>
      <c r="R13" s="245"/>
      <c r="S13" s="27"/>
      <c r="T13" s="27"/>
      <c r="U13" s="27"/>
      <c r="V13" s="27"/>
      <c r="W13" s="27"/>
    </row>
    <row r="14" spans="1:23" ht="19.5" customHeight="1" x14ac:dyDescent="0.2">
      <c r="A14" s="550"/>
      <c r="B14" s="550"/>
      <c r="C14" s="255" t="s">
        <v>207</v>
      </c>
      <c r="D14" s="259">
        <f>'Planilha orçamentária'!I23</f>
        <v>39992.309310249955</v>
      </c>
      <c r="E14" s="260">
        <f>E13*D14</f>
        <v>39992.309310249955</v>
      </c>
      <c r="F14" s="260">
        <f>F13*D14</f>
        <v>0</v>
      </c>
      <c r="G14" s="260">
        <f>G13*D14</f>
        <v>0</v>
      </c>
      <c r="H14" s="260">
        <f>H13*D14</f>
        <v>0</v>
      </c>
      <c r="I14" s="260">
        <f>I13*D14</f>
        <v>0</v>
      </c>
      <c r="J14" s="260">
        <f>J13*D14</f>
        <v>0</v>
      </c>
      <c r="K14" s="260">
        <f>K13*D14</f>
        <v>0</v>
      </c>
      <c r="L14" s="260">
        <f>L13*D14</f>
        <v>0</v>
      </c>
      <c r="M14" s="260">
        <f>M13*D14</f>
        <v>0</v>
      </c>
      <c r="N14" s="261">
        <f>N13*D14</f>
        <v>0</v>
      </c>
      <c r="O14" s="260"/>
      <c r="P14" s="44"/>
      <c r="Q14" s="244">
        <f t="shared" si="0"/>
        <v>39992.309310249955</v>
      </c>
      <c r="R14" s="245"/>
      <c r="S14" s="27"/>
      <c r="T14" s="27"/>
      <c r="U14" s="27"/>
      <c r="V14" s="27"/>
      <c r="W14" s="27"/>
    </row>
    <row r="15" spans="1:23" ht="19.5" customHeight="1" x14ac:dyDescent="0.2">
      <c r="A15" s="553">
        <v>4</v>
      </c>
      <c r="B15" s="552" t="s">
        <v>237</v>
      </c>
      <c r="C15" s="255" t="s">
        <v>206</v>
      </c>
      <c r="D15" s="256">
        <f>D16/D52</f>
        <v>2.4303250832849442E-3</v>
      </c>
      <c r="E15" s="257">
        <v>1</v>
      </c>
      <c r="F15" s="257"/>
      <c r="G15" s="257"/>
      <c r="H15" s="257"/>
      <c r="I15" s="257"/>
      <c r="J15" s="257"/>
      <c r="K15" s="257"/>
      <c r="L15" s="257"/>
      <c r="M15" s="257"/>
      <c r="N15" s="258"/>
      <c r="O15" s="257"/>
      <c r="P15" s="42"/>
      <c r="Q15" s="243">
        <f t="shared" si="0"/>
        <v>1</v>
      </c>
      <c r="R15" s="245"/>
      <c r="S15" s="27"/>
      <c r="T15" s="27"/>
      <c r="U15" s="27"/>
      <c r="V15" s="27"/>
      <c r="W15" s="27"/>
    </row>
    <row r="16" spans="1:23" ht="19.5" customHeight="1" x14ac:dyDescent="0.2">
      <c r="A16" s="550"/>
      <c r="B16" s="550"/>
      <c r="C16" s="255" t="s">
        <v>207</v>
      </c>
      <c r="D16" s="259">
        <f>'Planilha orçamentária'!I26</f>
        <v>31985.357884780362</v>
      </c>
      <c r="E16" s="260">
        <f>E15*D16</f>
        <v>31985.357884780362</v>
      </c>
      <c r="F16" s="260">
        <f>F15*D16</f>
        <v>0</v>
      </c>
      <c r="G16" s="260">
        <f>G15*D16</f>
        <v>0</v>
      </c>
      <c r="H16" s="260">
        <f>H15*D16</f>
        <v>0</v>
      </c>
      <c r="I16" s="260">
        <f>I15*D16</f>
        <v>0</v>
      </c>
      <c r="J16" s="260">
        <f>J15*D16</f>
        <v>0</v>
      </c>
      <c r="K16" s="260">
        <f>K15*D16</f>
        <v>0</v>
      </c>
      <c r="L16" s="260">
        <f>L15*D16</f>
        <v>0</v>
      </c>
      <c r="M16" s="260">
        <f>M15*D16</f>
        <v>0</v>
      </c>
      <c r="N16" s="261">
        <f>N15*D16</f>
        <v>0</v>
      </c>
      <c r="O16" s="260"/>
      <c r="P16" s="44"/>
      <c r="Q16" s="244">
        <f t="shared" si="0"/>
        <v>31985.357884780362</v>
      </c>
      <c r="R16" s="245"/>
      <c r="S16" s="27"/>
      <c r="T16" s="27"/>
      <c r="U16" s="27"/>
      <c r="V16" s="27"/>
      <c r="W16" s="27"/>
    </row>
    <row r="17" spans="1:23" ht="19.5" customHeight="1" x14ac:dyDescent="0.2">
      <c r="A17" s="553">
        <v>5</v>
      </c>
      <c r="B17" s="552" t="str">
        <f>'Planilha orçamentária'!D27</f>
        <v>MOVIMENTAÇÃO DE TERRA</v>
      </c>
      <c r="C17" s="255" t="s">
        <v>206</v>
      </c>
      <c r="D17" s="256">
        <f>D18/D52</f>
        <v>7.4933152145067875E-4</v>
      </c>
      <c r="E17" s="262">
        <v>1</v>
      </c>
      <c r="F17" s="257"/>
      <c r="G17" s="262"/>
      <c r="H17" s="262"/>
      <c r="I17" s="262"/>
      <c r="J17" s="262"/>
      <c r="K17" s="262"/>
      <c r="L17" s="262"/>
      <c r="M17" s="257"/>
      <c r="N17" s="258"/>
      <c r="O17" s="257"/>
      <c r="P17" s="42"/>
      <c r="Q17" s="243">
        <f t="shared" si="0"/>
        <v>1</v>
      </c>
      <c r="R17" s="245"/>
      <c r="S17" s="27"/>
      <c r="T17" s="27"/>
      <c r="U17" s="27"/>
      <c r="V17" s="27"/>
      <c r="W17" s="27"/>
    </row>
    <row r="18" spans="1:23" ht="19.5" customHeight="1" x14ac:dyDescent="0.2">
      <c r="A18" s="550"/>
      <c r="B18" s="550"/>
      <c r="C18" s="255" t="s">
        <v>207</v>
      </c>
      <c r="D18" s="259">
        <f>'Planilha orçamentária'!I28</f>
        <v>9861.9057396021781</v>
      </c>
      <c r="E18" s="260">
        <f>E17*D18</f>
        <v>9861.9057396021781</v>
      </c>
      <c r="F18" s="260">
        <f>F17*D18</f>
        <v>0</v>
      </c>
      <c r="G18" s="260">
        <f>G17*D18</f>
        <v>0</v>
      </c>
      <c r="H18" s="260">
        <f>H17*D18</f>
        <v>0</v>
      </c>
      <c r="I18" s="260">
        <f>I17*D18</f>
        <v>0</v>
      </c>
      <c r="J18" s="260">
        <f>J17*D18</f>
        <v>0</v>
      </c>
      <c r="K18" s="260">
        <f>K17*D18</f>
        <v>0</v>
      </c>
      <c r="L18" s="260">
        <f>L17*D18</f>
        <v>0</v>
      </c>
      <c r="M18" s="260">
        <f>M17*D18</f>
        <v>0</v>
      </c>
      <c r="N18" s="261">
        <f>N17*D18</f>
        <v>0</v>
      </c>
      <c r="O18" s="260"/>
      <c r="P18" s="44"/>
      <c r="Q18" s="244">
        <f t="shared" si="0"/>
        <v>9861.9057396021781</v>
      </c>
      <c r="R18" s="245"/>
      <c r="S18" s="27"/>
      <c r="T18" s="27"/>
      <c r="U18" s="27"/>
      <c r="V18" s="27"/>
      <c r="W18" s="27"/>
    </row>
    <row r="19" spans="1:23" ht="19.5" customHeight="1" x14ac:dyDescent="0.2">
      <c r="A19" s="553">
        <v>6</v>
      </c>
      <c r="B19" s="552" t="str">
        <f>'Planilha orçamentária'!D30</f>
        <v>INFRAESTRUTURA E SUPERESTRUTURA</v>
      </c>
      <c r="C19" s="255" t="s">
        <v>206</v>
      </c>
      <c r="D19" s="256">
        <f>D20/D52</f>
        <v>0.29723346009762219</v>
      </c>
      <c r="E19" s="257">
        <v>0.1</v>
      </c>
      <c r="F19" s="257">
        <v>0.2</v>
      </c>
      <c r="G19" s="257">
        <v>0.2</v>
      </c>
      <c r="H19" s="257">
        <v>0.2</v>
      </c>
      <c r="I19" s="257">
        <v>0.2</v>
      </c>
      <c r="J19" s="257">
        <v>0.1</v>
      </c>
      <c r="K19" s="257"/>
      <c r="L19" s="257"/>
      <c r="M19" s="257"/>
      <c r="N19" s="258"/>
      <c r="O19" s="257"/>
      <c r="P19" s="42"/>
      <c r="Q19" s="243">
        <f t="shared" si="0"/>
        <v>0.99999999999999989</v>
      </c>
      <c r="R19" s="245"/>
      <c r="S19" s="27"/>
      <c r="T19" s="27"/>
      <c r="U19" s="27"/>
      <c r="V19" s="27"/>
      <c r="W19" s="27"/>
    </row>
    <row r="20" spans="1:23" ht="19.5" customHeight="1" x14ac:dyDescent="0.2">
      <c r="A20" s="550"/>
      <c r="B20" s="550"/>
      <c r="C20" s="255" t="s">
        <v>207</v>
      </c>
      <c r="D20" s="259">
        <f>'Planilha orçamentária'!I42</f>
        <v>3911871.1574600344</v>
      </c>
      <c r="E20" s="260">
        <f>E19*D20</f>
        <v>391187.11574600346</v>
      </c>
      <c r="F20" s="260">
        <f>F19*D20</f>
        <v>782374.23149200692</v>
      </c>
      <c r="G20" s="260">
        <f>G19*D20</f>
        <v>782374.23149200692</v>
      </c>
      <c r="H20" s="260">
        <f>H19*D20</f>
        <v>782374.23149200692</v>
      </c>
      <c r="I20" s="260">
        <f>I19*D20</f>
        <v>782374.23149200692</v>
      </c>
      <c r="J20" s="260">
        <f>J19*D20</f>
        <v>391187.11574600346</v>
      </c>
      <c r="K20" s="260">
        <f>K19*D20</f>
        <v>0</v>
      </c>
      <c r="L20" s="260">
        <f>L19*D20</f>
        <v>0</v>
      </c>
      <c r="M20" s="260">
        <f>M19*D20</f>
        <v>0</v>
      </c>
      <c r="N20" s="261">
        <f>N19*D20</f>
        <v>0</v>
      </c>
      <c r="O20" s="260"/>
      <c r="P20" s="44"/>
      <c r="Q20" s="244">
        <f t="shared" si="0"/>
        <v>3911871.1574600348</v>
      </c>
      <c r="R20" s="245"/>
      <c r="S20" s="27"/>
      <c r="T20" s="27"/>
      <c r="U20" s="27"/>
      <c r="V20" s="27"/>
      <c r="W20" s="27"/>
    </row>
    <row r="21" spans="1:23" ht="19.5" customHeight="1" x14ac:dyDescent="0.2">
      <c r="A21" s="553">
        <v>7</v>
      </c>
      <c r="B21" s="552" t="str">
        <f>'Planilha orçamentária'!D43</f>
        <v>ALVENARIA E DIVISÓRIAS</v>
      </c>
      <c r="C21" s="255" t="s">
        <v>206</v>
      </c>
      <c r="D21" s="256">
        <f>D22/D52</f>
        <v>6.3156793848283779E-2</v>
      </c>
      <c r="E21" s="257">
        <v>0.1</v>
      </c>
      <c r="F21" s="257">
        <v>0.2</v>
      </c>
      <c r="G21" s="257">
        <v>0.2</v>
      </c>
      <c r="H21" s="257">
        <v>0.2</v>
      </c>
      <c r="I21" s="257">
        <v>0.2</v>
      </c>
      <c r="J21" s="257">
        <v>0.1</v>
      </c>
      <c r="K21" s="257"/>
      <c r="L21" s="257"/>
      <c r="M21" s="257"/>
      <c r="N21" s="258"/>
      <c r="O21" s="257"/>
      <c r="P21" s="42"/>
      <c r="Q21" s="243">
        <f t="shared" si="0"/>
        <v>0.99999999999999989</v>
      </c>
      <c r="R21" s="245"/>
      <c r="S21" s="27"/>
      <c r="T21" s="27"/>
      <c r="U21" s="27"/>
      <c r="V21" s="27"/>
      <c r="W21" s="27"/>
    </row>
    <row r="22" spans="1:23" ht="19.5" customHeight="1" x14ac:dyDescent="0.2">
      <c r="A22" s="550"/>
      <c r="B22" s="550"/>
      <c r="C22" s="255" t="s">
        <v>207</v>
      </c>
      <c r="D22" s="259">
        <f>'Planilha orçamentária'!I46</f>
        <v>831202.65185355255</v>
      </c>
      <c r="E22" s="260">
        <f>E21*D22</f>
        <v>83120.265185355267</v>
      </c>
      <c r="F22" s="260">
        <f>F21*D22</f>
        <v>166240.53037071053</v>
      </c>
      <c r="G22" s="260">
        <f>G21*D22</f>
        <v>166240.53037071053</v>
      </c>
      <c r="H22" s="260">
        <f>H21*D22</f>
        <v>166240.53037071053</v>
      </c>
      <c r="I22" s="260">
        <f>I21*D22</f>
        <v>166240.53037071053</v>
      </c>
      <c r="J22" s="260">
        <f>J21*D22</f>
        <v>83120.265185355267</v>
      </c>
      <c r="K22" s="260">
        <f>K21*D22</f>
        <v>0</v>
      </c>
      <c r="L22" s="260">
        <f>L21*D22</f>
        <v>0</v>
      </c>
      <c r="M22" s="260">
        <f>M21*D22</f>
        <v>0</v>
      </c>
      <c r="N22" s="261">
        <f>N21*D22</f>
        <v>0</v>
      </c>
      <c r="O22" s="260"/>
      <c r="P22" s="44"/>
      <c r="Q22" s="244">
        <f t="shared" si="0"/>
        <v>831202.65185355279</v>
      </c>
      <c r="R22" s="245"/>
      <c r="S22" s="27"/>
      <c r="T22" s="27"/>
      <c r="U22" s="27"/>
      <c r="V22" s="27"/>
      <c r="W22" s="27"/>
    </row>
    <row r="23" spans="1:23" ht="19.5" customHeight="1" x14ac:dyDescent="0.2">
      <c r="A23" s="553">
        <v>8</v>
      </c>
      <c r="B23" s="552" t="str">
        <f>'Planilha orçamentária'!D47</f>
        <v>PISO E REVESTIMENTO</v>
      </c>
      <c r="C23" s="255" t="s">
        <v>206</v>
      </c>
      <c r="D23" s="256">
        <f>D24/D52</f>
        <v>0.18963790986311854</v>
      </c>
      <c r="E23" s="257"/>
      <c r="F23" s="257"/>
      <c r="G23" s="257"/>
      <c r="H23" s="257"/>
      <c r="I23" s="257"/>
      <c r="J23" s="257">
        <v>0.2</v>
      </c>
      <c r="K23" s="257">
        <v>0.2</v>
      </c>
      <c r="L23" s="257">
        <v>0.2</v>
      </c>
      <c r="M23" s="257">
        <v>0.3</v>
      </c>
      <c r="N23" s="258">
        <v>0.1</v>
      </c>
      <c r="O23" s="257"/>
      <c r="P23" s="42"/>
      <c r="Q23" s="243">
        <f t="shared" si="0"/>
        <v>1.0000000000000002</v>
      </c>
      <c r="R23" s="245"/>
      <c r="S23" s="27"/>
      <c r="T23" s="27"/>
      <c r="U23" s="27"/>
      <c r="V23" s="27"/>
      <c r="W23" s="27"/>
    </row>
    <row r="24" spans="1:23" ht="19.5" customHeight="1" x14ac:dyDescent="0.2">
      <c r="A24" s="550"/>
      <c r="B24" s="550"/>
      <c r="C24" s="255" t="s">
        <v>207</v>
      </c>
      <c r="D24" s="259">
        <f>'Planilha orçamentária'!I60</f>
        <v>2495812.7853805306</v>
      </c>
      <c r="E24" s="260">
        <f>E23*D24</f>
        <v>0</v>
      </c>
      <c r="F24" s="260">
        <f>F23*D24</f>
        <v>0</v>
      </c>
      <c r="G24" s="260">
        <f>G23*D24</f>
        <v>0</v>
      </c>
      <c r="H24" s="260">
        <f>H23*D24</f>
        <v>0</v>
      </c>
      <c r="I24" s="260">
        <f>I23*D24</f>
        <v>0</v>
      </c>
      <c r="J24" s="260">
        <f>J23*D24</f>
        <v>499162.55707610614</v>
      </c>
      <c r="K24" s="260">
        <f>K23*D24</f>
        <v>499162.55707610614</v>
      </c>
      <c r="L24" s="260">
        <f>L23*D24</f>
        <v>499162.55707610614</v>
      </c>
      <c r="M24" s="260">
        <f>M23*D24</f>
        <v>748743.83561415912</v>
      </c>
      <c r="N24" s="261">
        <f>N23*D24</f>
        <v>249581.27853805307</v>
      </c>
      <c r="O24" s="260"/>
      <c r="P24" s="44"/>
      <c r="Q24" s="244">
        <f t="shared" si="0"/>
        <v>2495812.7853805306</v>
      </c>
      <c r="R24" s="245"/>
      <c r="S24" s="27"/>
      <c r="T24" s="27"/>
      <c r="U24" s="27"/>
      <c r="V24" s="27"/>
      <c r="W24" s="27"/>
    </row>
    <row r="25" spans="1:23" ht="19.5" customHeight="1" x14ac:dyDescent="0.2">
      <c r="A25" s="553">
        <v>9</v>
      </c>
      <c r="B25" s="552" t="str">
        <f>'Planilha orçamentária'!D61</f>
        <v>BANCADAS</v>
      </c>
      <c r="C25" s="255" t="s">
        <v>206</v>
      </c>
      <c r="D25" s="256">
        <f>D26/D52</f>
        <v>7.3600216408960823E-3</v>
      </c>
      <c r="E25" s="257"/>
      <c r="F25" s="257"/>
      <c r="G25" s="257"/>
      <c r="H25" s="257"/>
      <c r="I25" s="257"/>
      <c r="J25" s="257"/>
      <c r="K25" s="257"/>
      <c r="L25" s="257"/>
      <c r="M25" s="257">
        <v>0.5</v>
      </c>
      <c r="N25" s="258">
        <v>0.5</v>
      </c>
      <c r="O25" s="257"/>
      <c r="P25" s="48"/>
      <c r="Q25" s="243">
        <f t="shared" si="0"/>
        <v>1</v>
      </c>
      <c r="R25" s="245"/>
      <c r="S25" s="27"/>
      <c r="T25" s="27"/>
      <c r="U25" s="27"/>
      <c r="V25" s="27"/>
      <c r="W25" s="27"/>
    </row>
    <row r="26" spans="1:23" ht="19.5" customHeight="1" x14ac:dyDescent="0.2">
      <c r="A26" s="550"/>
      <c r="B26" s="550"/>
      <c r="C26" s="255" t="s">
        <v>207</v>
      </c>
      <c r="D26" s="259">
        <f>'Planilha orçamentária'!I65</f>
        <v>96864.788930044771</v>
      </c>
      <c r="E26" s="260">
        <f>E25*D26</f>
        <v>0</v>
      </c>
      <c r="F26" s="260">
        <f>F25*D26</f>
        <v>0</v>
      </c>
      <c r="G26" s="260">
        <f>G25*D26</f>
        <v>0</v>
      </c>
      <c r="H26" s="260">
        <f>H25*D26</f>
        <v>0</v>
      </c>
      <c r="I26" s="260">
        <f>I25*D26</f>
        <v>0</v>
      </c>
      <c r="J26" s="260">
        <f>J25*D26</f>
        <v>0</v>
      </c>
      <c r="K26" s="260">
        <f>K25*D26</f>
        <v>0</v>
      </c>
      <c r="L26" s="260">
        <f>L25*D26</f>
        <v>0</v>
      </c>
      <c r="M26" s="260">
        <f>M25*D26</f>
        <v>48432.394465022386</v>
      </c>
      <c r="N26" s="261">
        <f>N25*D26</f>
        <v>48432.394465022386</v>
      </c>
      <c r="O26" s="260"/>
      <c r="P26" s="49"/>
      <c r="Q26" s="244">
        <f t="shared" si="0"/>
        <v>96864.788930044771</v>
      </c>
      <c r="R26" s="245"/>
      <c r="S26" s="27"/>
      <c r="T26" s="27"/>
      <c r="U26" s="27"/>
      <c r="V26" s="27"/>
      <c r="W26" s="27"/>
    </row>
    <row r="27" spans="1:23" ht="19.5" customHeight="1" x14ac:dyDescent="0.2">
      <c r="A27" s="548">
        <v>10</v>
      </c>
      <c r="B27" s="549" t="str">
        <f>'Planilha orçamentária'!D66</f>
        <v>LOUÇAS E METAIS</v>
      </c>
      <c r="C27" s="40" t="s">
        <v>206</v>
      </c>
      <c r="D27" s="41">
        <f>D28/D52</f>
        <v>3.1060555163378422E-2</v>
      </c>
      <c r="E27" s="42"/>
      <c r="F27" s="42"/>
      <c r="G27" s="42"/>
      <c r="H27" s="42"/>
      <c r="I27" s="42"/>
      <c r="J27" s="42"/>
      <c r="K27" s="42"/>
      <c r="L27" s="42"/>
      <c r="M27" s="42">
        <v>0.2</v>
      </c>
      <c r="N27" s="246">
        <v>0.8</v>
      </c>
      <c r="O27" s="48"/>
      <c r="P27" s="48"/>
      <c r="Q27" s="243">
        <f t="shared" si="0"/>
        <v>1</v>
      </c>
      <c r="R27" s="245"/>
      <c r="S27" s="27"/>
      <c r="T27" s="27"/>
      <c r="U27" s="27"/>
      <c r="V27" s="27"/>
      <c r="W27" s="27"/>
    </row>
    <row r="28" spans="1:23" ht="19.5" customHeight="1" x14ac:dyDescent="0.2">
      <c r="A28" s="388"/>
      <c r="B28" s="388"/>
      <c r="C28" s="40" t="s">
        <v>207</v>
      </c>
      <c r="D28" s="43">
        <f>'Planilha orçamentária'!I82</f>
        <v>408786.04258891247</v>
      </c>
      <c r="E28" s="44">
        <f>E27*D28</f>
        <v>0</v>
      </c>
      <c r="F28" s="44">
        <f>F27*D28</f>
        <v>0</v>
      </c>
      <c r="G28" s="44">
        <f>G27*D28</f>
        <v>0</v>
      </c>
      <c r="H28" s="44">
        <f>H27*D28</f>
        <v>0</v>
      </c>
      <c r="I28" s="44">
        <f>I27*D28</f>
        <v>0</v>
      </c>
      <c r="J28" s="44">
        <f>J27*D28</f>
        <v>0</v>
      </c>
      <c r="K28" s="44">
        <f>K27*D28</f>
        <v>0</v>
      </c>
      <c r="L28" s="44">
        <f>L27*D28</f>
        <v>0</v>
      </c>
      <c r="M28" s="44">
        <f>M27*D28</f>
        <v>81757.208517782507</v>
      </c>
      <c r="N28" s="247">
        <f>N27*D28</f>
        <v>327028.83407113003</v>
      </c>
      <c r="O28" s="49"/>
      <c r="P28" s="49"/>
      <c r="Q28" s="244">
        <f t="shared" si="0"/>
        <v>408786.04258891253</v>
      </c>
      <c r="R28" s="245"/>
      <c r="S28" s="27"/>
      <c r="T28" s="27"/>
      <c r="U28" s="27"/>
      <c r="V28" s="27"/>
      <c r="W28" s="27"/>
    </row>
    <row r="29" spans="1:23" ht="19.5" customHeight="1" x14ac:dyDescent="0.2">
      <c r="A29" s="548">
        <v>11</v>
      </c>
      <c r="B29" s="549" t="str">
        <f>'Planilha orçamentária'!D83</f>
        <v>ESQUADRIAS</v>
      </c>
      <c r="C29" s="40" t="s">
        <v>206</v>
      </c>
      <c r="D29" s="41">
        <f>D30/D52</f>
        <v>9.6129946482970227E-2</v>
      </c>
      <c r="E29" s="42"/>
      <c r="F29" s="42"/>
      <c r="G29" s="42"/>
      <c r="H29" s="42"/>
      <c r="I29" s="42"/>
      <c r="J29" s="42"/>
      <c r="K29" s="42"/>
      <c r="L29" s="42">
        <v>0.4</v>
      </c>
      <c r="M29" s="42">
        <v>0.3</v>
      </c>
      <c r="N29" s="246">
        <v>0.3</v>
      </c>
      <c r="O29" s="42"/>
      <c r="P29" s="42"/>
      <c r="Q29" s="243">
        <f t="shared" si="0"/>
        <v>1</v>
      </c>
      <c r="R29" s="245"/>
      <c r="S29" s="27"/>
      <c r="T29" s="27"/>
      <c r="U29" s="27"/>
      <c r="V29" s="27"/>
      <c r="W29" s="27"/>
    </row>
    <row r="30" spans="1:23" ht="19.5" customHeight="1" x14ac:dyDescent="0.2">
      <c r="A30" s="388"/>
      <c r="B30" s="388"/>
      <c r="C30" s="40" t="s">
        <v>207</v>
      </c>
      <c r="D30" s="43">
        <f>'Planilha orçamentária'!I90</f>
        <v>1265160.2712944909</v>
      </c>
      <c r="E30" s="44">
        <f>E29*D30</f>
        <v>0</v>
      </c>
      <c r="F30" s="44">
        <f>F29*D30</f>
        <v>0</v>
      </c>
      <c r="G30" s="44">
        <f>G29*D30</f>
        <v>0</v>
      </c>
      <c r="H30" s="44">
        <f>H29*D30</f>
        <v>0</v>
      </c>
      <c r="I30" s="44">
        <f>I29*D30</f>
        <v>0</v>
      </c>
      <c r="J30" s="44">
        <f>J29*D30</f>
        <v>0</v>
      </c>
      <c r="K30" s="44">
        <f>K29*D30</f>
        <v>0</v>
      </c>
      <c r="L30" s="44">
        <f>L29*D30</f>
        <v>506064.10851779638</v>
      </c>
      <c r="M30" s="44">
        <f>M29*D30</f>
        <v>379548.08138834726</v>
      </c>
      <c r="N30" s="247">
        <f>N29*D30</f>
        <v>379548.08138834726</v>
      </c>
      <c r="O30" s="44"/>
      <c r="P30" s="44"/>
      <c r="Q30" s="244">
        <f t="shared" si="0"/>
        <v>1265160.2712944909</v>
      </c>
      <c r="R30" s="245"/>
      <c r="S30" s="27"/>
      <c r="T30" s="27"/>
      <c r="U30" s="27"/>
      <c r="V30" s="27"/>
      <c r="W30" s="27"/>
    </row>
    <row r="31" spans="1:23" ht="19.5" customHeight="1" x14ac:dyDescent="0.2">
      <c r="A31" s="548">
        <v>12</v>
      </c>
      <c r="B31" s="549" t="str">
        <f>'Planilha orçamentária'!D91</f>
        <v>PINTURA</v>
      </c>
      <c r="C31" s="40" t="s">
        <v>206</v>
      </c>
      <c r="D31" s="41">
        <f>D32/D52</f>
        <v>6.2155954604911044E-2</v>
      </c>
      <c r="E31" s="42"/>
      <c r="F31" s="42"/>
      <c r="G31" s="42"/>
      <c r="H31" s="42"/>
      <c r="I31" s="42"/>
      <c r="J31" s="42"/>
      <c r="K31" s="42"/>
      <c r="L31" s="42"/>
      <c r="M31" s="42">
        <v>0.6</v>
      </c>
      <c r="N31" s="246">
        <v>0.4</v>
      </c>
      <c r="O31" s="42"/>
      <c r="P31" s="42"/>
      <c r="Q31" s="243">
        <f t="shared" si="0"/>
        <v>1</v>
      </c>
      <c r="R31" s="245"/>
      <c r="S31" s="27"/>
      <c r="T31" s="27"/>
      <c r="U31" s="27"/>
      <c r="V31" s="27"/>
      <c r="W31" s="27"/>
    </row>
    <row r="32" spans="1:23" ht="19.5" customHeight="1" x14ac:dyDescent="0.2">
      <c r="A32" s="388"/>
      <c r="B32" s="388"/>
      <c r="C32" s="40" t="s">
        <v>207</v>
      </c>
      <c r="D32" s="43">
        <f>'Planilha orçamentária'!I97</f>
        <v>818030.66856432916</v>
      </c>
      <c r="E32" s="44">
        <f>E31*D32</f>
        <v>0</v>
      </c>
      <c r="F32" s="44">
        <f>F31*D32</f>
        <v>0</v>
      </c>
      <c r="G32" s="44">
        <f>G31*D32</f>
        <v>0</v>
      </c>
      <c r="H32" s="44">
        <f>H31*D32</f>
        <v>0</v>
      </c>
      <c r="I32" s="44">
        <f>I31*D32</f>
        <v>0</v>
      </c>
      <c r="J32" s="44">
        <f>J31*D32</f>
        <v>0</v>
      </c>
      <c r="K32" s="44">
        <f>K31*D32</f>
        <v>0</v>
      </c>
      <c r="L32" s="44">
        <f>L31*D32</f>
        <v>0</v>
      </c>
      <c r="M32" s="44">
        <f>M31*D32</f>
        <v>490818.40113859746</v>
      </c>
      <c r="N32" s="247">
        <f>N31*D32</f>
        <v>327212.2674257317</v>
      </c>
      <c r="O32" s="44"/>
      <c r="P32" s="44"/>
      <c r="Q32" s="244">
        <f t="shared" si="0"/>
        <v>818030.66856432916</v>
      </c>
      <c r="R32" s="245"/>
      <c r="S32" s="27"/>
      <c r="T32" s="27"/>
      <c r="U32" s="27"/>
      <c r="V32" s="27"/>
      <c r="W32" s="27"/>
    </row>
    <row r="33" spans="1:23" ht="19.5" customHeight="1" x14ac:dyDescent="0.2">
      <c r="A33" s="548">
        <v>13</v>
      </c>
      <c r="B33" s="549" t="str">
        <f>'Planilha orçamentária'!D98</f>
        <v>INSTALAÇÕES HIDROSANITÁRIAS</v>
      </c>
      <c r="C33" s="40" t="s">
        <v>206</v>
      </c>
      <c r="D33" s="45">
        <f>D34/D52</f>
        <v>5.9471940165423634E-2</v>
      </c>
      <c r="E33" s="42"/>
      <c r="F33" s="42"/>
      <c r="G33" s="42">
        <v>0.3</v>
      </c>
      <c r="H33" s="42">
        <v>0.3</v>
      </c>
      <c r="I33" s="42">
        <v>0.2</v>
      </c>
      <c r="J33" s="42">
        <v>0.2</v>
      </c>
      <c r="K33" s="42"/>
      <c r="L33" s="42"/>
      <c r="M33" s="42"/>
      <c r="N33" s="246"/>
      <c r="O33" s="42"/>
      <c r="P33" s="42"/>
      <c r="Q33" s="243">
        <f t="shared" si="0"/>
        <v>1</v>
      </c>
      <c r="R33" s="245"/>
      <c r="S33" s="27"/>
      <c r="T33" s="27"/>
      <c r="U33" s="27"/>
      <c r="V33" s="27"/>
      <c r="W33" s="27"/>
    </row>
    <row r="34" spans="1:23" ht="19.5" customHeight="1" x14ac:dyDescent="0.2">
      <c r="A34" s="388"/>
      <c r="B34" s="388"/>
      <c r="C34" s="40" t="s">
        <v>207</v>
      </c>
      <c r="D34" s="43">
        <f>'Planilha orçamentária'!I112</f>
        <v>782706.52077629534</v>
      </c>
      <c r="E34" s="44">
        <f>E33*D34</f>
        <v>0</v>
      </c>
      <c r="F34" s="44">
        <f>F33*D34</f>
        <v>0</v>
      </c>
      <c r="G34" s="44">
        <f>G33*D34</f>
        <v>234811.95623288859</v>
      </c>
      <c r="H34" s="44">
        <f>H33*D34</f>
        <v>234811.95623288859</v>
      </c>
      <c r="I34" s="44">
        <f>I33*D34</f>
        <v>156541.30415525907</v>
      </c>
      <c r="J34" s="44">
        <f>J33*D34</f>
        <v>156541.30415525907</v>
      </c>
      <c r="K34" s="44">
        <f>K33*D34</f>
        <v>0</v>
      </c>
      <c r="L34" s="44">
        <f>L33*D34</f>
        <v>0</v>
      </c>
      <c r="M34" s="44">
        <f>M33*D34</f>
        <v>0</v>
      </c>
      <c r="N34" s="247">
        <f>N33*D34</f>
        <v>0</v>
      </c>
      <c r="O34" s="44"/>
      <c r="P34" s="44"/>
      <c r="Q34" s="244">
        <f t="shared" si="0"/>
        <v>782706.52077629534</v>
      </c>
      <c r="R34" s="245"/>
      <c r="S34" s="27"/>
      <c r="T34" s="27"/>
      <c r="U34" s="27"/>
      <c r="V34" s="27"/>
      <c r="W34" s="27"/>
    </row>
    <row r="35" spans="1:23" ht="19.5" customHeight="1" x14ac:dyDescent="0.2">
      <c r="A35" s="548">
        <v>14</v>
      </c>
      <c r="B35" s="549" t="str">
        <f>'Planilha orçamentária'!D113</f>
        <v>INSTALAÇÕES ELÉTRICAS</v>
      </c>
      <c r="C35" s="40" t="s">
        <v>206</v>
      </c>
      <c r="D35" s="41">
        <f>D36/D52</f>
        <v>8.9784867101264279E-2</v>
      </c>
      <c r="E35" s="42"/>
      <c r="F35" s="42"/>
      <c r="G35" s="42"/>
      <c r="H35" s="42"/>
      <c r="I35" s="42">
        <v>0.2</v>
      </c>
      <c r="J35" s="42"/>
      <c r="K35" s="42"/>
      <c r="L35" s="42">
        <v>0.3</v>
      </c>
      <c r="M35" s="42">
        <v>0.3</v>
      </c>
      <c r="N35" s="246">
        <v>0.2</v>
      </c>
      <c r="O35" s="42"/>
      <c r="P35" s="42"/>
      <c r="Q35" s="243">
        <f t="shared" si="0"/>
        <v>1</v>
      </c>
      <c r="R35" s="245"/>
      <c r="S35" s="27"/>
      <c r="T35" s="27"/>
      <c r="U35" s="27"/>
      <c r="V35" s="27"/>
      <c r="W35" s="27"/>
    </row>
    <row r="36" spans="1:23" ht="19.5" customHeight="1" x14ac:dyDescent="0.2">
      <c r="A36" s="388"/>
      <c r="B36" s="388"/>
      <c r="C36" s="40" t="s">
        <v>207</v>
      </c>
      <c r="D36" s="43">
        <f>'Planilha orçamentária'!I135</f>
        <v>1181653.0745712898</v>
      </c>
      <c r="E36" s="44">
        <f>E35*D36</f>
        <v>0</v>
      </c>
      <c r="F36" s="44">
        <f>F35*D36</f>
        <v>0</v>
      </c>
      <c r="G36" s="44">
        <f>G35*D36</f>
        <v>0</v>
      </c>
      <c r="H36" s="44">
        <f>H35*D36</f>
        <v>0</v>
      </c>
      <c r="I36" s="44">
        <f>I35*D36</f>
        <v>236330.61491425798</v>
      </c>
      <c r="J36" s="44">
        <f>J35*D36</f>
        <v>0</v>
      </c>
      <c r="K36" s="44">
        <f>K35*D36</f>
        <v>0</v>
      </c>
      <c r="L36" s="44">
        <f>L35*D36</f>
        <v>354495.92237138696</v>
      </c>
      <c r="M36" s="44">
        <f>M35*D36</f>
        <v>354495.92237138696</v>
      </c>
      <c r="N36" s="247">
        <f>N35*D36</f>
        <v>236330.61491425798</v>
      </c>
      <c r="O36" s="44"/>
      <c r="P36" s="44"/>
      <c r="Q36" s="244">
        <f t="shared" si="0"/>
        <v>1181653.0745712898</v>
      </c>
      <c r="R36" s="245"/>
      <c r="S36" s="27"/>
      <c r="T36" s="27"/>
      <c r="U36" s="27"/>
      <c r="V36" s="27"/>
      <c r="W36" s="27"/>
    </row>
    <row r="37" spans="1:23" ht="19.5" customHeight="1" x14ac:dyDescent="0.2">
      <c r="A37" s="548">
        <v>15</v>
      </c>
      <c r="B37" s="549" t="str">
        <f>'Planilha orçamentária'!D136</f>
        <v>INSTALAÇÕES DE COMBATE A INCÊNDIO E PÂNICO</v>
      </c>
      <c r="C37" s="40" t="s">
        <v>206</v>
      </c>
      <c r="D37" s="41">
        <f>D38/D52</f>
        <v>5.7889157832473012E-4</v>
      </c>
      <c r="E37" s="42"/>
      <c r="F37" s="42"/>
      <c r="G37" s="42"/>
      <c r="H37" s="42"/>
      <c r="I37" s="42"/>
      <c r="J37" s="42"/>
      <c r="K37" s="42"/>
      <c r="L37" s="42"/>
      <c r="M37" s="42"/>
      <c r="N37" s="246">
        <v>1</v>
      </c>
      <c r="O37" s="42"/>
      <c r="P37" s="42"/>
      <c r="Q37" s="243">
        <f t="shared" si="0"/>
        <v>1</v>
      </c>
      <c r="R37" s="245"/>
      <c r="S37" s="27"/>
      <c r="T37" s="27"/>
      <c r="U37" s="27"/>
      <c r="V37" s="27"/>
      <c r="W37" s="27"/>
    </row>
    <row r="38" spans="1:23" ht="19.5" customHeight="1" x14ac:dyDescent="0.2">
      <c r="A38" s="388"/>
      <c r="B38" s="388"/>
      <c r="C38" s="40" t="s">
        <v>207</v>
      </c>
      <c r="D38" s="43">
        <f>'Planilha orçamentária'!I138</f>
        <v>7618.7562053117053</v>
      </c>
      <c r="E38" s="44">
        <f>E37*D38</f>
        <v>0</v>
      </c>
      <c r="F38" s="44">
        <f>F37*D38</f>
        <v>0</v>
      </c>
      <c r="G38" s="44">
        <f>G37*D38</f>
        <v>0</v>
      </c>
      <c r="H38" s="44">
        <f>H37*D38</f>
        <v>0</v>
      </c>
      <c r="I38" s="44">
        <f>I37*D38</f>
        <v>0</v>
      </c>
      <c r="J38" s="44">
        <f>J37*D38</f>
        <v>0</v>
      </c>
      <c r="K38" s="44">
        <f>K37*D38</f>
        <v>0</v>
      </c>
      <c r="L38" s="44">
        <f>L37*D38</f>
        <v>0</v>
      </c>
      <c r="M38" s="44">
        <f>M37*D38</f>
        <v>0</v>
      </c>
      <c r="N38" s="247">
        <f>N37*D38</f>
        <v>7618.7562053117053</v>
      </c>
      <c r="O38" s="44"/>
      <c r="P38" s="44"/>
      <c r="Q38" s="244">
        <f t="shared" si="0"/>
        <v>7618.7562053117053</v>
      </c>
      <c r="R38" s="245"/>
      <c r="S38" s="27"/>
      <c r="T38" s="27"/>
      <c r="U38" s="27"/>
      <c r="V38" s="27"/>
      <c r="W38" s="27"/>
    </row>
    <row r="39" spans="1:23" ht="19.5" customHeight="1" x14ac:dyDescent="0.2">
      <c r="A39" s="548">
        <v>16</v>
      </c>
      <c r="B39" s="549" t="str">
        <f>'Planilha orçamentária'!D139</f>
        <v>ILUMINAÇÃO DE EMERGÊNCIA</v>
      </c>
      <c r="C39" s="40" t="s">
        <v>206</v>
      </c>
      <c r="D39" s="41">
        <f>D40/D52</f>
        <v>2.7276900296698122E-4</v>
      </c>
      <c r="E39" s="42"/>
      <c r="F39" s="42"/>
      <c r="G39" s="42"/>
      <c r="H39" s="42"/>
      <c r="I39" s="42"/>
      <c r="J39" s="42"/>
      <c r="K39" s="42"/>
      <c r="L39" s="42"/>
      <c r="M39" s="42"/>
      <c r="N39" s="246">
        <v>1</v>
      </c>
      <c r="O39" s="42"/>
      <c r="P39" s="42"/>
      <c r="Q39" s="243">
        <f t="shared" si="0"/>
        <v>1</v>
      </c>
      <c r="R39" s="245"/>
      <c r="S39" s="27"/>
      <c r="T39" s="27"/>
      <c r="U39" s="27"/>
      <c r="V39" s="27"/>
      <c r="W39" s="27"/>
    </row>
    <row r="40" spans="1:23" ht="19.5" customHeight="1" x14ac:dyDescent="0.2">
      <c r="A40" s="388"/>
      <c r="B40" s="388"/>
      <c r="C40" s="40" t="s">
        <v>207</v>
      </c>
      <c r="D40" s="43">
        <f>'Planilha orçamentária'!I141</f>
        <v>3589.8959525122468</v>
      </c>
      <c r="E40" s="44">
        <f>E39*D40</f>
        <v>0</v>
      </c>
      <c r="F40" s="44">
        <f>F39*D40</f>
        <v>0</v>
      </c>
      <c r="G40" s="44">
        <f>G39*D40</f>
        <v>0</v>
      </c>
      <c r="H40" s="44">
        <f>H39*D40</f>
        <v>0</v>
      </c>
      <c r="I40" s="44">
        <f>I39*D40</f>
        <v>0</v>
      </c>
      <c r="J40" s="44">
        <f>J39*D40</f>
        <v>0</v>
      </c>
      <c r="K40" s="44">
        <f>K39*D40</f>
        <v>0</v>
      </c>
      <c r="L40" s="44">
        <f>L39*D40</f>
        <v>0</v>
      </c>
      <c r="M40" s="44">
        <f>M39*D40</f>
        <v>0</v>
      </c>
      <c r="N40" s="247">
        <f>N39*D40</f>
        <v>3589.8959525122468</v>
      </c>
      <c r="O40" s="44"/>
      <c r="P40" s="44"/>
      <c r="Q40" s="244">
        <f t="shared" si="0"/>
        <v>3589.8959525122468</v>
      </c>
      <c r="R40" s="245"/>
      <c r="S40" s="27"/>
      <c r="T40" s="27"/>
      <c r="U40" s="27"/>
      <c r="V40" s="27"/>
      <c r="W40" s="27"/>
    </row>
    <row r="41" spans="1:23" ht="19.5" customHeight="1" x14ac:dyDescent="0.2">
      <c r="A41" s="548">
        <v>17</v>
      </c>
      <c r="B41" s="549" t="str">
        <f>'Planilha orçamentária'!D142</f>
        <v>PLACA DE SINALIZAÇÃO DE EMERGÊNCIA</v>
      </c>
      <c r="C41" s="40" t="s">
        <v>206</v>
      </c>
      <c r="D41" s="41">
        <f>D42/D52</f>
        <v>1.4553357168790257E-4</v>
      </c>
      <c r="E41" s="42"/>
      <c r="F41" s="42"/>
      <c r="G41" s="42"/>
      <c r="H41" s="42"/>
      <c r="I41" s="42"/>
      <c r="J41" s="42"/>
      <c r="K41" s="42"/>
      <c r="L41" s="42"/>
      <c r="M41" s="42"/>
      <c r="N41" s="246">
        <v>1</v>
      </c>
      <c r="O41" s="48"/>
      <c r="P41" s="48"/>
      <c r="Q41" s="243">
        <f t="shared" si="0"/>
        <v>1</v>
      </c>
      <c r="R41" s="245"/>
      <c r="S41" s="27"/>
      <c r="T41" s="27"/>
      <c r="U41" s="27"/>
      <c r="V41" s="27"/>
      <c r="W41" s="27"/>
    </row>
    <row r="42" spans="1:23" ht="19.5" customHeight="1" x14ac:dyDescent="0.2">
      <c r="A42" s="388"/>
      <c r="B42" s="388"/>
      <c r="C42" s="40" t="s">
        <v>207</v>
      </c>
      <c r="D42" s="43">
        <f>'Planilha orçamentária'!I148</f>
        <v>1915.3583225154628</v>
      </c>
      <c r="E42" s="44">
        <f>E41*D42</f>
        <v>0</v>
      </c>
      <c r="F42" s="44">
        <f>F41*D42</f>
        <v>0</v>
      </c>
      <c r="G42" s="44">
        <f>G41*D42</f>
        <v>0</v>
      </c>
      <c r="H42" s="44">
        <f>H41*D42</f>
        <v>0</v>
      </c>
      <c r="I42" s="44">
        <f>I41*D42</f>
        <v>0</v>
      </c>
      <c r="J42" s="44">
        <f>J41*D42</f>
        <v>0</v>
      </c>
      <c r="K42" s="44">
        <f>K41*D42</f>
        <v>0</v>
      </c>
      <c r="L42" s="44">
        <f>L41*D42</f>
        <v>0</v>
      </c>
      <c r="M42" s="44">
        <f>M41*D42</f>
        <v>0</v>
      </c>
      <c r="N42" s="247">
        <f>N41*D42</f>
        <v>1915.3583225154628</v>
      </c>
      <c r="O42" s="49"/>
      <c r="P42" s="49"/>
      <c r="Q42" s="244">
        <f t="shared" si="0"/>
        <v>1915.3583225154628</v>
      </c>
      <c r="R42" s="245"/>
      <c r="S42" s="27"/>
      <c r="T42" s="27"/>
      <c r="U42" s="27"/>
      <c r="V42" s="27"/>
      <c r="W42" s="27"/>
    </row>
    <row r="43" spans="1:23" ht="19.5" customHeight="1" x14ac:dyDescent="0.2">
      <c r="A43" s="548">
        <v>18</v>
      </c>
      <c r="B43" s="549" t="str">
        <f>'Planilha orçamentária'!D149</f>
        <v>SPDA</v>
      </c>
      <c r="C43" s="40" t="s">
        <v>206</v>
      </c>
      <c r="D43" s="41">
        <f>D44/D52</f>
        <v>2.6281030749236402E-2</v>
      </c>
      <c r="E43" s="42">
        <v>0.4</v>
      </c>
      <c r="F43" s="42"/>
      <c r="G43" s="42"/>
      <c r="H43" s="42"/>
      <c r="I43" s="42"/>
      <c r="J43" s="42"/>
      <c r="K43" s="42">
        <v>0.2</v>
      </c>
      <c r="L43" s="42">
        <v>0.2</v>
      </c>
      <c r="M43" s="42">
        <v>0.2</v>
      </c>
      <c r="N43" s="246"/>
      <c r="O43" s="48"/>
      <c r="P43" s="48"/>
      <c r="Q43" s="243">
        <f t="shared" si="0"/>
        <v>1</v>
      </c>
      <c r="R43" s="245"/>
      <c r="S43" s="27"/>
      <c r="T43" s="27"/>
      <c r="U43" s="27"/>
      <c r="V43" s="27"/>
      <c r="W43" s="27"/>
    </row>
    <row r="44" spans="1:23" ht="19.5" customHeight="1" x14ac:dyDescent="0.2">
      <c r="A44" s="388"/>
      <c r="B44" s="388"/>
      <c r="C44" s="40" t="s">
        <v>207</v>
      </c>
      <c r="D44" s="43">
        <f>'Planilha orçamentária'!I165</f>
        <v>345883.01782205916</v>
      </c>
      <c r="E44" s="44">
        <f>E43*D44</f>
        <v>138353.20712882368</v>
      </c>
      <c r="F44" s="44">
        <f>F43*D44</f>
        <v>0</v>
      </c>
      <c r="G44" s="44">
        <f>G43*D44</f>
        <v>0</v>
      </c>
      <c r="H44" s="44">
        <f>H43*D44</f>
        <v>0</v>
      </c>
      <c r="I44" s="44">
        <f>I43*D44</f>
        <v>0</v>
      </c>
      <c r="J44" s="44">
        <f>J43*D44</f>
        <v>0</v>
      </c>
      <c r="K44" s="44">
        <f>K43*D44</f>
        <v>69176.603564411838</v>
      </c>
      <c r="L44" s="44">
        <f>L43*D44</f>
        <v>69176.603564411838</v>
      </c>
      <c r="M44" s="44">
        <f>M43*D44</f>
        <v>69176.603564411838</v>
      </c>
      <c r="N44" s="247">
        <f>N43*D44</f>
        <v>0</v>
      </c>
      <c r="O44" s="49"/>
      <c r="P44" s="49"/>
      <c r="Q44" s="244">
        <f t="shared" si="0"/>
        <v>345883.01782205922</v>
      </c>
      <c r="R44" s="245"/>
      <c r="S44" s="27"/>
      <c r="T44" s="27"/>
      <c r="U44" s="27"/>
      <c r="V44" s="27"/>
      <c r="W44" s="27"/>
    </row>
    <row r="45" spans="1:23" ht="19.5" customHeight="1" x14ac:dyDescent="0.2">
      <c r="A45" s="548">
        <v>19</v>
      </c>
      <c r="B45" s="549" t="str">
        <f>'Planilha orçamentária'!D166</f>
        <v>COMUNICAÇÃO/ INTERFONE</v>
      </c>
      <c r="C45" s="40" t="s">
        <v>206</v>
      </c>
      <c r="D45" s="41">
        <f>D46/D52</f>
        <v>5.185717516546293E-3</v>
      </c>
      <c r="E45" s="42"/>
      <c r="F45" s="42"/>
      <c r="G45" s="42"/>
      <c r="H45" s="42"/>
      <c r="I45" s="42"/>
      <c r="J45" s="42"/>
      <c r="K45" s="42"/>
      <c r="L45" s="42">
        <v>0.2</v>
      </c>
      <c r="M45" s="42">
        <v>0.4</v>
      </c>
      <c r="N45" s="246">
        <v>0.4</v>
      </c>
      <c r="O45" s="42"/>
      <c r="P45" s="42"/>
      <c r="Q45" s="243">
        <f t="shared" si="0"/>
        <v>1</v>
      </c>
      <c r="R45" s="245"/>
      <c r="S45" s="27"/>
      <c r="T45" s="27"/>
      <c r="U45" s="27"/>
      <c r="V45" s="27"/>
      <c r="W45" s="27"/>
    </row>
    <row r="46" spans="1:23" ht="19.5" customHeight="1" x14ac:dyDescent="0.2">
      <c r="A46" s="388"/>
      <c r="B46" s="388"/>
      <c r="C46" s="40" t="s">
        <v>207</v>
      </c>
      <c r="D46" s="43">
        <f>'Planilha orçamentária'!I174</f>
        <v>68248.907027661407</v>
      </c>
      <c r="E46" s="44">
        <f>E45*D46</f>
        <v>0</v>
      </c>
      <c r="F46" s="44">
        <f>F45*D46</f>
        <v>0</v>
      </c>
      <c r="G46" s="44">
        <f>G45*D46</f>
        <v>0</v>
      </c>
      <c r="H46" s="44">
        <f>H45*D46</f>
        <v>0</v>
      </c>
      <c r="I46" s="44">
        <f>I45*D46</f>
        <v>0</v>
      </c>
      <c r="J46" s="44">
        <f>J45*D46</f>
        <v>0</v>
      </c>
      <c r="K46" s="44">
        <f>K45*D46</f>
        <v>0</v>
      </c>
      <c r="L46" s="44">
        <f>L45*D46</f>
        <v>13649.781405532281</v>
      </c>
      <c r="M46" s="44">
        <f>M45*D46</f>
        <v>27299.562811064563</v>
      </c>
      <c r="N46" s="247">
        <f>N45*D46</f>
        <v>27299.562811064563</v>
      </c>
      <c r="O46" s="44"/>
      <c r="P46" s="44"/>
      <c r="Q46" s="244">
        <f t="shared" si="0"/>
        <v>68248.907027661407</v>
      </c>
      <c r="R46" s="245"/>
      <c r="S46" s="27"/>
      <c r="T46" s="27"/>
      <c r="U46" s="27"/>
      <c r="V46" s="27"/>
      <c r="W46" s="27"/>
    </row>
    <row r="47" spans="1:23" ht="19.5" customHeight="1" x14ac:dyDescent="0.2">
      <c r="A47" s="548">
        <v>20</v>
      </c>
      <c r="B47" s="549" t="str">
        <f>'Planilha orçamentária'!D175</f>
        <v>COBERTURA</v>
      </c>
      <c r="C47" s="40" t="s">
        <v>206</v>
      </c>
      <c r="D47" s="41">
        <f>D48/D52</f>
        <v>3.0195334352060538E-2</v>
      </c>
      <c r="E47" s="42"/>
      <c r="F47" s="42"/>
      <c r="G47" s="42"/>
      <c r="H47" s="42"/>
      <c r="I47" s="42"/>
      <c r="J47" s="42"/>
      <c r="K47" s="42">
        <v>0.5</v>
      </c>
      <c r="L47" s="42">
        <v>0.5</v>
      </c>
      <c r="M47" s="42"/>
      <c r="N47" s="246"/>
      <c r="O47" s="42"/>
      <c r="P47" s="42"/>
      <c r="Q47" s="243">
        <f t="shared" si="0"/>
        <v>1</v>
      </c>
      <c r="R47" s="245"/>
      <c r="S47" s="27"/>
      <c r="T47" s="27"/>
      <c r="U47" s="27"/>
      <c r="V47" s="27"/>
      <c r="W47" s="27"/>
    </row>
    <row r="48" spans="1:23" ht="19.5" customHeight="1" x14ac:dyDescent="0.2">
      <c r="A48" s="388"/>
      <c r="B48" s="388"/>
      <c r="C48" s="40" t="s">
        <v>207</v>
      </c>
      <c r="D48" s="43">
        <f>'Planilha orçamentária'!I181</f>
        <v>397398.92508364585</v>
      </c>
      <c r="E48" s="44">
        <f>E47*D48</f>
        <v>0</v>
      </c>
      <c r="F48" s="44">
        <f>F47*D48</f>
        <v>0</v>
      </c>
      <c r="G48" s="44">
        <f>G47*D48</f>
        <v>0</v>
      </c>
      <c r="H48" s="44">
        <f>H47*D48</f>
        <v>0</v>
      </c>
      <c r="I48" s="44">
        <f>I47*D48</f>
        <v>0</v>
      </c>
      <c r="J48" s="44">
        <f>J47*D48</f>
        <v>0</v>
      </c>
      <c r="K48" s="44">
        <f>K47*D48</f>
        <v>198699.46254182293</v>
      </c>
      <c r="L48" s="44">
        <f>L47*D48</f>
        <v>198699.46254182293</v>
      </c>
      <c r="M48" s="44">
        <f>M47*D48</f>
        <v>0</v>
      </c>
      <c r="N48" s="247">
        <f>N47*D48</f>
        <v>0</v>
      </c>
      <c r="O48" s="44"/>
      <c r="P48" s="44"/>
      <c r="Q48" s="244">
        <f t="shared" si="0"/>
        <v>397398.92508364585</v>
      </c>
      <c r="R48" s="245"/>
      <c r="S48" s="27"/>
      <c r="T48" s="27"/>
      <c r="U48" s="27"/>
      <c r="V48" s="27"/>
      <c r="W48" s="27"/>
    </row>
    <row r="49" spans="1:23" ht="19.5" customHeight="1" x14ac:dyDescent="0.2">
      <c r="A49" s="548">
        <v>21</v>
      </c>
      <c r="B49" s="549" t="str">
        <f>'Planilha orçamentária'!D182</f>
        <v>SERVIÇOS DIVERSOS</v>
      </c>
      <c r="C49" s="40" t="s">
        <v>206</v>
      </c>
      <c r="D49" s="41">
        <f>D50/D52</f>
        <v>9.3295222414279521E-3</v>
      </c>
      <c r="E49" s="42"/>
      <c r="F49" s="42"/>
      <c r="G49" s="42"/>
      <c r="H49" s="42"/>
      <c r="I49" s="42"/>
      <c r="J49" s="42"/>
      <c r="K49" s="42"/>
      <c r="L49" s="42"/>
      <c r="M49" s="42">
        <v>0.4</v>
      </c>
      <c r="N49" s="246">
        <v>0.6</v>
      </c>
      <c r="O49" s="42"/>
      <c r="P49" s="42"/>
      <c r="Q49" s="243">
        <f t="shared" si="0"/>
        <v>1</v>
      </c>
      <c r="R49" s="245"/>
      <c r="S49" s="27"/>
      <c r="T49" s="27"/>
      <c r="U49" s="27"/>
      <c r="V49" s="27"/>
      <c r="W49" s="27"/>
    </row>
    <row r="50" spans="1:23" ht="19.5" customHeight="1" x14ac:dyDescent="0.2">
      <c r="A50" s="388"/>
      <c r="B50" s="388"/>
      <c r="C50" s="40" t="s">
        <v>207</v>
      </c>
      <c r="D50" s="43">
        <f>'Planilha orçamentária'!I185</f>
        <v>122785.26434115908</v>
      </c>
      <c r="E50" s="44">
        <f>E49*D50</f>
        <v>0</v>
      </c>
      <c r="F50" s="44">
        <f>F49*D50</f>
        <v>0</v>
      </c>
      <c r="G50" s="44">
        <f>G49*D50</f>
        <v>0</v>
      </c>
      <c r="H50" s="44">
        <f>H49*D50</f>
        <v>0</v>
      </c>
      <c r="I50" s="44">
        <f>I49*D50</f>
        <v>0</v>
      </c>
      <c r="J50" s="44">
        <f>J49*D50</f>
        <v>0</v>
      </c>
      <c r="K50" s="44">
        <f>K49*D50</f>
        <v>0</v>
      </c>
      <c r="L50" s="44">
        <f>L49*D50</f>
        <v>0</v>
      </c>
      <c r="M50" s="44">
        <f>M49*D50</f>
        <v>49114.105736463636</v>
      </c>
      <c r="N50" s="247">
        <f>N49*D50</f>
        <v>73671.158604695447</v>
      </c>
      <c r="O50" s="44"/>
      <c r="P50" s="44"/>
      <c r="Q50" s="244">
        <f t="shared" si="0"/>
        <v>122785.26434115908</v>
      </c>
      <c r="R50" s="245"/>
      <c r="S50" s="27"/>
      <c r="T50" s="27"/>
      <c r="U50" s="27"/>
      <c r="V50" s="27"/>
      <c r="W50" s="27"/>
    </row>
    <row r="51" spans="1:23" ht="19.5" customHeight="1" x14ac:dyDescent="0.2">
      <c r="A51" s="554" t="s">
        <v>113</v>
      </c>
      <c r="B51" s="388"/>
      <c r="C51" s="46" t="s">
        <v>206</v>
      </c>
      <c r="D51" s="41">
        <f>D49+D47+D45+D43+D41+D39+D37+D35+D33+D31+D29+D27+D25+D23+D21+D19+D17+D15+D13+D11+D9</f>
        <v>0.99999999999999989</v>
      </c>
      <c r="E51" s="47">
        <f>E52/D52</f>
        <v>5.6015261986691239E-2</v>
      </c>
      <c r="F51" s="47">
        <f>F52/D52</f>
        <v>7.4491859878673614E-2</v>
      </c>
      <c r="G51" s="47">
        <f>G52/D52</f>
        <v>9.2333441928300702E-2</v>
      </c>
      <c r="H51" s="47">
        <f>H52/D52</f>
        <v>9.2333441928300702E-2</v>
      </c>
      <c r="I51" s="47">
        <f>I52/D52</f>
        <v>0.1043432213320112</v>
      </c>
      <c r="J51" s="47">
        <f>J52/D52</f>
        <v>8.8274804489791442E-2</v>
      </c>
      <c r="K51" s="47">
        <f>K52/D52</f>
        <v>6.0695264387993671E-2</v>
      </c>
      <c r="L51" s="47">
        <f>L52/D52</f>
        <v>0.1271198466148703</v>
      </c>
      <c r="M51" s="47">
        <f>M52/D52</f>
        <v>0.17332762279280567</v>
      </c>
      <c r="N51" s="248">
        <f>N52/D52</f>
        <v>0.13106523466056155</v>
      </c>
      <c r="O51" s="249"/>
      <c r="P51" s="249"/>
      <c r="Q51" s="243">
        <f t="shared" si="0"/>
        <v>1</v>
      </c>
      <c r="R51" s="27"/>
      <c r="S51" s="27"/>
      <c r="T51" s="27"/>
      <c r="U51" s="27"/>
      <c r="V51" s="27"/>
      <c r="W51" s="27"/>
    </row>
    <row r="52" spans="1:23" ht="19.5" customHeight="1" x14ac:dyDescent="0.2">
      <c r="A52" s="388"/>
      <c r="B52" s="388"/>
      <c r="C52" s="46" t="s">
        <v>207</v>
      </c>
      <c r="D52" s="263">
        <f t="shared" ref="D52:N52" si="2">D10+D12+D16+D18+D20+D22+D24+D26+D28+D30+D32+D34+D36+D38+D40+D14+D42+D44+D46+D48+D50</f>
        <v>13160938.059178246</v>
      </c>
      <c r="E52" s="263">
        <f t="shared" si="2"/>
        <v>737213.3933754852</v>
      </c>
      <c r="F52" s="263">
        <f t="shared" si="2"/>
        <v>980382.7537762085</v>
      </c>
      <c r="G52" s="263">
        <f t="shared" si="2"/>
        <v>1215194.7100090971</v>
      </c>
      <c r="H52" s="263">
        <f t="shared" si="2"/>
        <v>1215194.7100090971</v>
      </c>
      <c r="I52" s="263">
        <f t="shared" si="2"/>
        <v>1373254.6728457257</v>
      </c>
      <c r="J52" s="263">
        <f t="shared" si="2"/>
        <v>1161779.234076215</v>
      </c>
      <c r="K52" s="263">
        <f t="shared" si="2"/>
        <v>798806.61509583192</v>
      </c>
      <c r="L52" s="263">
        <f t="shared" si="2"/>
        <v>1673016.4273905475</v>
      </c>
      <c r="M52" s="263">
        <f t="shared" si="2"/>
        <v>2281154.107520727</v>
      </c>
      <c r="N52" s="263">
        <f t="shared" si="2"/>
        <v>1724941.4350793122</v>
      </c>
      <c r="O52" s="264"/>
      <c r="P52" s="264"/>
      <c r="Q52" s="250">
        <f>SUM(E52:N52)</f>
        <v>13160938.059178248</v>
      </c>
      <c r="R52" s="245"/>
      <c r="S52" s="27"/>
      <c r="T52" s="27"/>
      <c r="U52" s="27"/>
      <c r="V52" s="27"/>
      <c r="W52" s="27"/>
    </row>
    <row r="53" spans="1:23" ht="15" customHeight="1" x14ac:dyDescent="0.2">
      <c r="A53" s="37"/>
      <c r="B53" s="37"/>
      <c r="C53" s="37"/>
      <c r="D53" s="37"/>
      <c r="E53" s="37"/>
      <c r="F53" s="37"/>
      <c r="G53" s="37"/>
      <c r="H53" s="37"/>
      <c r="I53" s="37"/>
      <c r="J53" s="37"/>
      <c r="K53" s="37"/>
      <c r="L53" s="37"/>
      <c r="M53" s="37"/>
      <c r="N53" s="37"/>
      <c r="O53" s="37"/>
      <c r="P53" s="37"/>
      <c r="Q53" s="27"/>
      <c r="R53" s="27"/>
      <c r="S53" s="27"/>
      <c r="T53" s="27"/>
      <c r="U53" s="27"/>
      <c r="V53" s="27"/>
      <c r="W53" s="27"/>
    </row>
    <row r="54" spans="1:23" ht="15" customHeight="1" x14ac:dyDescent="0.2">
      <c r="A54" s="37"/>
      <c r="B54" s="37"/>
      <c r="C54" s="37"/>
      <c r="D54" s="37"/>
      <c r="E54" s="37"/>
      <c r="F54" s="37"/>
      <c r="G54" s="37"/>
      <c r="H54" s="37"/>
      <c r="I54" s="37"/>
      <c r="J54" s="37"/>
      <c r="K54" s="37"/>
      <c r="L54" s="37"/>
      <c r="M54" s="37"/>
      <c r="N54" s="37"/>
      <c r="O54" s="37"/>
      <c r="P54" s="37"/>
      <c r="Q54" s="27"/>
      <c r="R54" s="27"/>
      <c r="S54" s="27"/>
      <c r="T54" s="27"/>
      <c r="U54" s="27"/>
      <c r="V54" s="27"/>
      <c r="W54" s="27"/>
    </row>
    <row r="55" spans="1:23" ht="15" customHeight="1" x14ac:dyDescent="0.2">
      <c r="A55" s="37"/>
      <c r="B55" s="37"/>
      <c r="C55" s="37"/>
      <c r="D55" s="37"/>
      <c r="E55" s="37"/>
      <c r="F55" s="37"/>
      <c r="G55" s="37"/>
      <c r="H55" s="37"/>
      <c r="I55" s="37"/>
      <c r="J55" s="37"/>
      <c r="K55" s="37"/>
      <c r="L55" s="37"/>
      <c r="M55" s="37"/>
      <c r="N55" s="37"/>
      <c r="O55" s="37"/>
      <c r="P55" s="37"/>
      <c r="Q55" s="27"/>
      <c r="R55" s="27"/>
      <c r="S55" s="27"/>
      <c r="T55" s="27"/>
      <c r="U55" s="27"/>
      <c r="V55" s="27"/>
      <c r="W55" s="27"/>
    </row>
    <row r="56" spans="1:23" ht="15" customHeight="1" x14ac:dyDescent="0.2">
      <c r="A56" s="37"/>
      <c r="B56" s="37"/>
      <c r="C56" s="37"/>
      <c r="D56" s="37"/>
      <c r="E56" s="37"/>
      <c r="F56" s="37"/>
      <c r="G56" s="37"/>
      <c r="H56" s="37"/>
      <c r="I56" s="37"/>
      <c r="J56" s="37"/>
      <c r="K56" s="37"/>
      <c r="L56" s="37"/>
      <c r="M56" s="37"/>
      <c r="N56" s="37"/>
      <c r="O56" s="37"/>
      <c r="P56" s="37"/>
      <c r="Q56" s="27"/>
      <c r="R56" s="27"/>
      <c r="S56" s="27"/>
      <c r="T56" s="27"/>
      <c r="U56" s="27"/>
      <c r="V56" s="27"/>
      <c r="W56" s="27"/>
    </row>
    <row r="57" spans="1:23" ht="15" customHeight="1" x14ac:dyDescent="0.2">
      <c r="A57" s="37"/>
      <c r="B57" s="37"/>
      <c r="C57" s="37"/>
      <c r="D57" s="37"/>
      <c r="E57" s="37"/>
      <c r="F57" s="37"/>
      <c r="G57" s="37"/>
      <c r="H57" s="37"/>
      <c r="I57" s="37"/>
      <c r="J57" s="37"/>
      <c r="K57" s="37"/>
      <c r="L57" s="37"/>
      <c r="M57" s="37"/>
      <c r="N57" s="37"/>
      <c r="O57" s="37"/>
      <c r="P57" s="37"/>
      <c r="Q57" s="27"/>
      <c r="R57" s="27"/>
      <c r="S57" s="27"/>
      <c r="T57" s="27"/>
      <c r="U57" s="27"/>
      <c r="V57" s="27"/>
      <c r="W57" s="27"/>
    </row>
    <row r="58" spans="1:23" ht="15" customHeight="1" x14ac:dyDescent="0.2">
      <c r="A58" s="37"/>
      <c r="B58" s="37"/>
      <c r="C58" s="37"/>
      <c r="D58" s="37"/>
      <c r="E58" s="37"/>
      <c r="F58" s="37"/>
      <c r="G58" s="37"/>
      <c r="H58" s="37"/>
      <c r="I58" s="37"/>
      <c r="J58" s="37"/>
      <c r="K58" s="37"/>
      <c r="L58" s="37"/>
      <c r="M58" s="37"/>
      <c r="N58" s="37"/>
      <c r="O58" s="37"/>
      <c r="P58" s="37"/>
      <c r="Q58" s="27"/>
      <c r="R58" s="27"/>
      <c r="S58" s="27"/>
      <c r="T58" s="27"/>
      <c r="U58" s="27"/>
      <c r="V58" s="27"/>
      <c r="W58" s="27"/>
    </row>
    <row r="59" spans="1:23" ht="15" customHeight="1" x14ac:dyDescent="0.2">
      <c r="A59" s="37"/>
      <c r="B59" s="37"/>
      <c r="C59" s="37"/>
      <c r="D59" s="37"/>
      <c r="E59" s="37"/>
      <c r="F59" s="37"/>
      <c r="G59" s="37"/>
      <c r="H59" s="37"/>
      <c r="I59" s="37"/>
      <c r="J59" s="37"/>
      <c r="K59" s="37"/>
      <c r="L59" s="37"/>
      <c r="M59" s="37"/>
      <c r="N59" s="37"/>
      <c r="O59" s="37"/>
      <c r="P59" s="37"/>
      <c r="Q59" s="27"/>
      <c r="R59" s="27"/>
      <c r="S59" s="27"/>
      <c r="T59" s="27"/>
      <c r="U59" s="27"/>
      <c r="V59" s="27"/>
      <c r="W59" s="27"/>
    </row>
    <row r="60" spans="1:23" ht="15" customHeight="1" x14ac:dyDescent="0.2">
      <c r="A60" s="37"/>
      <c r="B60" s="37"/>
      <c r="C60" s="37"/>
      <c r="D60" s="37"/>
      <c r="E60" s="37"/>
      <c r="F60" s="37"/>
      <c r="G60" s="37"/>
      <c r="H60" s="37"/>
      <c r="I60" s="37"/>
      <c r="J60" s="37"/>
      <c r="K60" s="37"/>
      <c r="L60" s="37"/>
      <c r="M60" s="37"/>
      <c r="N60" s="37"/>
      <c r="O60" s="37"/>
      <c r="P60" s="37"/>
      <c r="Q60" s="27"/>
      <c r="R60" s="27"/>
      <c r="S60" s="27"/>
      <c r="T60" s="27"/>
      <c r="U60" s="27"/>
      <c r="V60" s="27"/>
      <c r="W60" s="27"/>
    </row>
    <row r="61" spans="1:23" ht="15" customHeight="1" x14ac:dyDescent="0.2">
      <c r="A61" s="37"/>
      <c r="B61" s="37"/>
      <c r="C61" s="37"/>
      <c r="D61" s="37"/>
      <c r="E61" s="37"/>
      <c r="F61" s="37"/>
      <c r="G61" s="37"/>
      <c r="H61" s="37"/>
      <c r="I61" s="37"/>
      <c r="J61" s="37"/>
      <c r="K61" s="37"/>
      <c r="L61" s="37"/>
      <c r="M61" s="37"/>
      <c r="N61" s="37"/>
      <c r="O61" s="37"/>
      <c r="P61" s="37"/>
      <c r="Q61" s="27"/>
      <c r="R61" s="27"/>
      <c r="S61" s="27"/>
      <c r="T61" s="27"/>
      <c r="U61" s="27"/>
      <c r="V61" s="27"/>
      <c r="W61" s="27"/>
    </row>
    <row r="62" spans="1:23" ht="15" customHeight="1" x14ac:dyDescent="0.2">
      <c r="A62" s="37"/>
      <c r="B62" s="37"/>
      <c r="C62" s="37"/>
      <c r="D62" s="37"/>
      <c r="E62" s="37"/>
      <c r="F62" s="37"/>
      <c r="G62" s="37"/>
      <c r="H62" s="37"/>
      <c r="I62" s="37"/>
      <c r="J62" s="37"/>
      <c r="K62" s="37"/>
      <c r="L62" s="37"/>
      <c r="M62" s="37"/>
      <c r="N62" s="37"/>
      <c r="O62" s="37"/>
      <c r="P62" s="37"/>
      <c r="Q62" s="27"/>
      <c r="R62" s="27"/>
      <c r="S62" s="27"/>
      <c r="T62" s="27"/>
      <c r="U62" s="27"/>
      <c r="V62" s="27"/>
      <c r="W62" s="27"/>
    </row>
    <row r="63" spans="1:23" ht="15" customHeight="1" x14ac:dyDescent="0.2">
      <c r="A63" s="37"/>
      <c r="B63" s="37"/>
      <c r="C63" s="37"/>
      <c r="D63" s="37"/>
      <c r="E63" s="37"/>
      <c r="F63" s="37"/>
      <c r="G63" s="37"/>
      <c r="H63" s="37"/>
      <c r="I63" s="37"/>
      <c r="J63" s="37"/>
      <c r="K63" s="37"/>
      <c r="L63" s="37"/>
      <c r="M63" s="37"/>
      <c r="N63" s="37"/>
      <c r="O63" s="37"/>
      <c r="P63" s="37"/>
      <c r="Q63" s="27"/>
      <c r="R63" s="27"/>
      <c r="S63" s="27"/>
      <c r="T63" s="27"/>
      <c r="U63" s="27"/>
      <c r="V63" s="27"/>
      <c r="W63" s="27"/>
    </row>
    <row r="64" spans="1:23" ht="15" customHeight="1" x14ac:dyDescent="0.2">
      <c r="A64" s="37"/>
      <c r="B64" s="37"/>
      <c r="C64" s="37"/>
      <c r="D64" s="37"/>
      <c r="E64" s="37"/>
      <c r="F64" s="37"/>
      <c r="G64" s="37"/>
      <c r="H64" s="37"/>
      <c r="I64" s="37"/>
      <c r="J64" s="37"/>
      <c r="K64" s="37"/>
      <c r="L64" s="37"/>
      <c r="M64" s="37"/>
      <c r="N64" s="37"/>
      <c r="O64" s="37"/>
      <c r="P64" s="37"/>
      <c r="Q64" s="27"/>
      <c r="R64" s="27"/>
      <c r="S64" s="27"/>
      <c r="T64" s="27"/>
      <c r="U64" s="27"/>
      <c r="V64" s="27"/>
      <c r="W64" s="27"/>
    </row>
    <row r="65" spans="1:23" ht="15" customHeight="1" x14ac:dyDescent="0.2">
      <c r="A65" s="37"/>
      <c r="B65" s="37"/>
      <c r="C65" s="37"/>
      <c r="D65" s="37"/>
      <c r="E65" s="37"/>
      <c r="F65" s="37"/>
      <c r="G65" s="37"/>
      <c r="H65" s="37"/>
      <c r="I65" s="37"/>
      <c r="J65" s="37"/>
      <c r="K65" s="37"/>
      <c r="L65" s="37"/>
      <c r="M65" s="37"/>
      <c r="N65" s="37"/>
      <c r="O65" s="37"/>
      <c r="P65" s="37"/>
      <c r="Q65" s="27"/>
      <c r="R65" s="27"/>
      <c r="S65" s="27"/>
      <c r="T65" s="27"/>
      <c r="U65" s="27"/>
      <c r="V65" s="27"/>
      <c r="W65" s="27"/>
    </row>
    <row r="66" spans="1:23" ht="15" customHeight="1" x14ac:dyDescent="0.2">
      <c r="A66" s="37"/>
      <c r="B66" s="37"/>
      <c r="C66" s="37"/>
      <c r="D66" s="37"/>
      <c r="E66" s="37"/>
      <c r="F66" s="37"/>
      <c r="G66" s="37"/>
      <c r="H66" s="37"/>
      <c r="I66" s="37"/>
      <c r="J66" s="37"/>
      <c r="K66" s="37"/>
      <c r="L66" s="37"/>
      <c r="M66" s="37"/>
      <c r="N66" s="37"/>
      <c r="O66" s="37"/>
      <c r="P66" s="37"/>
      <c r="Q66" s="27"/>
      <c r="R66" s="27"/>
      <c r="S66" s="27"/>
      <c r="T66" s="27"/>
      <c r="U66" s="27"/>
      <c r="V66" s="27"/>
      <c r="W66" s="27"/>
    </row>
    <row r="67" spans="1:23" ht="15" customHeight="1" x14ac:dyDescent="0.2">
      <c r="A67" s="37"/>
      <c r="B67" s="37"/>
      <c r="C67" s="37"/>
      <c r="D67" s="37"/>
      <c r="E67" s="37"/>
      <c r="F67" s="37"/>
      <c r="G67" s="37"/>
      <c r="H67" s="37"/>
      <c r="I67" s="37"/>
      <c r="J67" s="37"/>
      <c r="K67" s="37"/>
      <c r="L67" s="37"/>
      <c r="M67" s="37"/>
      <c r="N67" s="37"/>
      <c r="O67" s="37"/>
      <c r="P67" s="37"/>
      <c r="Q67" s="27"/>
      <c r="R67" s="27"/>
      <c r="S67" s="27"/>
      <c r="T67" s="27"/>
      <c r="U67" s="27"/>
      <c r="V67" s="27"/>
      <c r="W67" s="27"/>
    </row>
    <row r="68" spans="1:23" ht="15" customHeight="1" x14ac:dyDescent="0.2">
      <c r="A68" s="37"/>
      <c r="B68" s="37"/>
      <c r="C68" s="37"/>
      <c r="D68" s="37"/>
      <c r="E68" s="37"/>
      <c r="F68" s="37"/>
      <c r="G68" s="37"/>
      <c r="H68" s="37"/>
      <c r="I68" s="37"/>
      <c r="J68" s="37"/>
      <c r="K68" s="37"/>
      <c r="L68" s="37"/>
      <c r="M68" s="37"/>
      <c r="N68" s="37"/>
      <c r="O68" s="37"/>
      <c r="P68" s="37"/>
      <c r="Q68" s="27"/>
      <c r="R68" s="27"/>
      <c r="S68" s="27"/>
      <c r="T68" s="27"/>
      <c r="U68" s="27"/>
      <c r="V68" s="27"/>
      <c r="W68" s="27"/>
    </row>
    <row r="69" spans="1:23" ht="15" customHeight="1" x14ac:dyDescent="0.2">
      <c r="A69" s="37"/>
      <c r="B69" s="37"/>
      <c r="C69" s="37"/>
      <c r="D69" s="37"/>
      <c r="E69" s="37"/>
      <c r="F69" s="37"/>
      <c r="G69" s="37"/>
      <c r="H69" s="37"/>
      <c r="I69" s="37"/>
      <c r="J69" s="37"/>
      <c r="K69" s="37"/>
      <c r="L69" s="37"/>
      <c r="M69" s="37"/>
      <c r="N69" s="37"/>
      <c r="O69" s="37"/>
      <c r="P69" s="37"/>
      <c r="Q69" s="27"/>
      <c r="R69" s="27"/>
      <c r="S69" s="27"/>
      <c r="T69" s="27"/>
      <c r="U69" s="27"/>
      <c r="V69" s="27"/>
      <c r="W69" s="27"/>
    </row>
    <row r="70" spans="1:23" ht="15" customHeight="1" x14ac:dyDescent="0.2">
      <c r="A70" s="37"/>
      <c r="B70" s="37"/>
      <c r="C70" s="37"/>
      <c r="D70" s="37"/>
      <c r="E70" s="37"/>
      <c r="F70" s="37"/>
      <c r="G70" s="37"/>
      <c r="H70" s="37"/>
      <c r="I70" s="37"/>
      <c r="J70" s="37"/>
      <c r="K70" s="37"/>
      <c r="L70" s="37"/>
      <c r="M70" s="37"/>
      <c r="N70" s="37"/>
      <c r="O70" s="37"/>
      <c r="P70" s="37"/>
      <c r="Q70" s="27"/>
      <c r="R70" s="27"/>
      <c r="S70" s="27"/>
      <c r="T70" s="27"/>
      <c r="U70" s="27"/>
      <c r="V70" s="27"/>
      <c r="W70" s="27"/>
    </row>
    <row r="71" spans="1:23" ht="15" customHeight="1" x14ac:dyDescent="0.2">
      <c r="A71" s="37"/>
      <c r="B71" s="37"/>
      <c r="C71" s="37"/>
      <c r="D71" s="37"/>
      <c r="E71" s="37"/>
      <c r="F71" s="37"/>
      <c r="G71" s="37"/>
      <c r="H71" s="37"/>
      <c r="I71" s="37"/>
      <c r="J71" s="37"/>
      <c r="K71" s="37"/>
      <c r="L71" s="37"/>
      <c r="M71" s="37"/>
      <c r="N71" s="37"/>
      <c r="O71" s="37"/>
      <c r="P71" s="37"/>
      <c r="Q71" s="27"/>
      <c r="R71" s="27"/>
      <c r="S71" s="27"/>
      <c r="T71" s="27"/>
      <c r="U71" s="27"/>
      <c r="V71" s="27"/>
      <c r="W71" s="27"/>
    </row>
    <row r="72" spans="1:23" ht="15" customHeight="1" x14ac:dyDescent="0.2">
      <c r="A72" s="37"/>
      <c r="B72" s="37"/>
      <c r="C72" s="37"/>
      <c r="D72" s="37"/>
      <c r="E72" s="37"/>
      <c r="F72" s="37"/>
      <c r="G72" s="37"/>
      <c r="H72" s="37"/>
      <c r="I72" s="37"/>
      <c r="J72" s="37"/>
      <c r="K72" s="37"/>
      <c r="L72" s="37"/>
      <c r="M72" s="37"/>
      <c r="N72" s="37"/>
      <c r="O72" s="37"/>
      <c r="P72" s="37"/>
      <c r="Q72" s="27"/>
      <c r="R72" s="27"/>
      <c r="S72" s="27"/>
      <c r="T72" s="27"/>
      <c r="U72" s="27"/>
      <c r="V72" s="27"/>
      <c r="W72" s="27"/>
    </row>
    <row r="73" spans="1:23" ht="15" customHeight="1" x14ac:dyDescent="0.2">
      <c r="A73" s="37"/>
      <c r="B73" s="37"/>
      <c r="C73" s="37"/>
      <c r="D73" s="37"/>
      <c r="E73" s="37"/>
      <c r="F73" s="37"/>
      <c r="G73" s="37"/>
      <c r="H73" s="37"/>
      <c r="I73" s="37"/>
      <c r="J73" s="37"/>
      <c r="K73" s="37"/>
      <c r="L73" s="37"/>
      <c r="M73" s="37"/>
      <c r="N73" s="37"/>
      <c r="O73" s="37"/>
      <c r="P73" s="37"/>
      <c r="Q73" s="27"/>
      <c r="R73" s="27"/>
      <c r="S73" s="27"/>
      <c r="T73" s="27"/>
      <c r="U73" s="27"/>
      <c r="V73" s="27"/>
      <c r="W73" s="27"/>
    </row>
    <row r="74" spans="1:23" ht="15" customHeight="1" x14ac:dyDescent="0.2">
      <c r="A74" s="37"/>
      <c r="B74" s="37"/>
      <c r="C74" s="37"/>
      <c r="D74" s="37"/>
      <c r="E74" s="37"/>
      <c r="F74" s="37"/>
      <c r="G74" s="37"/>
      <c r="H74" s="37"/>
      <c r="I74" s="37"/>
      <c r="J74" s="37"/>
      <c r="K74" s="37"/>
      <c r="L74" s="37"/>
      <c r="M74" s="37"/>
      <c r="N74" s="37"/>
      <c r="O74" s="37"/>
      <c r="P74" s="37"/>
      <c r="Q74" s="27"/>
      <c r="R74" s="27"/>
      <c r="S74" s="27"/>
      <c r="T74" s="27"/>
      <c r="U74" s="27"/>
      <c r="V74" s="27"/>
      <c r="W74" s="27"/>
    </row>
    <row r="75" spans="1:23" ht="15" customHeight="1" x14ac:dyDescent="0.2">
      <c r="A75" s="37"/>
      <c r="B75" s="37"/>
      <c r="C75" s="37"/>
      <c r="D75" s="37"/>
      <c r="E75" s="37"/>
      <c r="F75" s="37"/>
      <c r="G75" s="37"/>
      <c r="H75" s="37"/>
      <c r="I75" s="37"/>
      <c r="J75" s="37"/>
      <c r="K75" s="37"/>
      <c r="L75" s="37"/>
      <c r="M75" s="37"/>
      <c r="N75" s="37"/>
      <c r="O75" s="37"/>
      <c r="P75" s="37"/>
      <c r="Q75" s="27"/>
      <c r="R75" s="27"/>
      <c r="S75" s="27"/>
      <c r="T75" s="27"/>
      <c r="U75" s="27"/>
      <c r="V75" s="27"/>
      <c r="W75" s="27"/>
    </row>
    <row r="76" spans="1:23" ht="15" customHeight="1" x14ac:dyDescent="0.2">
      <c r="A76" s="37"/>
      <c r="B76" s="37"/>
      <c r="C76" s="37"/>
      <c r="D76" s="37"/>
      <c r="E76" s="37"/>
      <c r="F76" s="37"/>
      <c r="G76" s="37"/>
      <c r="H76" s="37"/>
      <c r="I76" s="37"/>
      <c r="J76" s="37"/>
      <c r="K76" s="37"/>
      <c r="L76" s="37"/>
      <c r="M76" s="37"/>
      <c r="N76" s="37"/>
      <c r="O76" s="37"/>
      <c r="P76" s="37"/>
      <c r="Q76" s="27"/>
      <c r="R76" s="27"/>
      <c r="S76" s="27"/>
      <c r="T76" s="27"/>
      <c r="U76" s="27"/>
      <c r="V76" s="27"/>
      <c r="W76" s="27"/>
    </row>
    <row r="77" spans="1:23" ht="15" customHeight="1" x14ac:dyDescent="0.2">
      <c r="A77" s="37"/>
      <c r="B77" s="37"/>
      <c r="C77" s="37"/>
      <c r="D77" s="37"/>
      <c r="E77" s="37"/>
      <c r="F77" s="37"/>
      <c r="G77" s="37"/>
      <c r="H77" s="37"/>
      <c r="I77" s="37"/>
      <c r="J77" s="37"/>
      <c r="K77" s="37"/>
      <c r="L77" s="37"/>
      <c r="M77" s="37"/>
      <c r="N77" s="37"/>
      <c r="O77" s="37"/>
      <c r="P77" s="37"/>
      <c r="Q77" s="27"/>
      <c r="R77" s="27"/>
      <c r="S77" s="27"/>
      <c r="T77" s="27"/>
      <c r="U77" s="27"/>
      <c r="V77" s="27"/>
      <c r="W77" s="27"/>
    </row>
    <row r="78" spans="1:23" ht="15" customHeight="1" x14ac:dyDescent="0.2">
      <c r="A78" s="37"/>
      <c r="B78" s="37"/>
      <c r="C78" s="37"/>
      <c r="D78" s="37"/>
      <c r="E78" s="37"/>
      <c r="F78" s="37"/>
      <c r="G78" s="37"/>
      <c r="H78" s="37"/>
      <c r="I78" s="37"/>
      <c r="J78" s="37"/>
      <c r="K78" s="37"/>
      <c r="L78" s="37"/>
      <c r="M78" s="37"/>
      <c r="N78" s="37"/>
      <c r="O78" s="37"/>
      <c r="P78" s="37"/>
      <c r="Q78" s="27"/>
      <c r="R78" s="27"/>
      <c r="S78" s="27"/>
      <c r="T78" s="27"/>
      <c r="U78" s="27"/>
      <c r="V78" s="27"/>
      <c r="W78" s="27"/>
    </row>
    <row r="79" spans="1:23" ht="15" customHeight="1" x14ac:dyDescent="0.2">
      <c r="A79" s="37"/>
      <c r="B79" s="37"/>
      <c r="C79" s="37"/>
      <c r="D79" s="37"/>
      <c r="E79" s="37"/>
      <c r="F79" s="37"/>
      <c r="G79" s="37"/>
      <c r="H79" s="37"/>
      <c r="I79" s="37"/>
      <c r="J79" s="37"/>
      <c r="K79" s="37"/>
      <c r="L79" s="37"/>
      <c r="M79" s="37"/>
      <c r="N79" s="37"/>
      <c r="O79" s="37"/>
      <c r="P79" s="37"/>
      <c r="Q79" s="27"/>
      <c r="R79" s="27"/>
      <c r="S79" s="27"/>
      <c r="T79" s="27"/>
      <c r="U79" s="27"/>
      <c r="V79" s="27"/>
      <c r="W79" s="27"/>
    </row>
    <row r="80" spans="1:23" ht="15" customHeight="1" x14ac:dyDescent="0.2">
      <c r="A80" s="37"/>
      <c r="B80" s="37"/>
      <c r="C80" s="37"/>
      <c r="D80" s="37"/>
      <c r="E80" s="37"/>
      <c r="F80" s="37"/>
      <c r="G80" s="37"/>
      <c r="H80" s="37"/>
      <c r="I80" s="37"/>
      <c r="J80" s="37"/>
      <c r="K80" s="37"/>
      <c r="L80" s="37"/>
      <c r="M80" s="37"/>
      <c r="N80" s="37"/>
      <c r="O80" s="37"/>
      <c r="P80" s="37"/>
      <c r="Q80" s="27"/>
      <c r="R80" s="27"/>
      <c r="S80" s="27"/>
      <c r="T80" s="27"/>
      <c r="U80" s="27"/>
      <c r="V80" s="27"/>
      <c r="W80" s="27"/>
    </row>
    <row r="81" spans="1:23" ht="15" customHeight="1" x14ac:dyDescent="0.2">
      <c r="A81" s="37"/>
      <c r="B81" s="37"/>
      <c r="C81" s="37"/>
      <c r="D81" s="37"/>
      <c r="E81" s="37"/>
      <c r="F81" s="37"/>
      <c r="G81" s="37"/>
      <c r="H81" s="37"/>
      <c r="I81" s="37"/>
      <c r="J81" s="37"/>
      <c r="K81" s="37"/>
      <c r="L81" s="37"/>
      <c r="M81" s="37"/>
      <c r="N81" s="37"/>
      <c r="O81" s="37"/>
      <c r="P81" s="37"/>
      <c r="Q81" s="27"/>
      <c r="R81" s="27"/>
      <c r="S81" s="27"/>
      <c r="T81" s="27"/>
      <c r="U81" s="27"/>
      <c r="V81" s="27"/>
      <c r="W81" s="27"/>
    </row>
    <row r="82" spans="1:23" ht="15" customHeight="1" x14ac:dyDescent="0.2">
      <c r="A82" s="37"/>
      <c r="B82" s="37"/>
      <c r="C82" s="37"/>
      <c r="D82" s="37"/>
      <c r="E82" s="37"/>
      <c r="F82" s="37"/>
      <c r="G82" s="37"/>
      <c r="H82" s="37"/>
      <c r="I82" s="37"/>
      <c r="J82" s="37"/>
      <c r="K82" s="37"/>
      <c r="L82" s="37"/>
      <c r="M82" s="37"/>
      <c r="N82" s="37"/>
      <c r="O82" s="37"/>
      <c r="P82" s="37"/>
      <c r="Q82" s="27"/>
      <c r="R82" s="27"/>
      <c r="S82" s="27"/>
      <c r="T82" s="27"/>
      <c r="U82" s="27"/>
      <c r="V82" s="27"/>
      <c r="W82" s="27"/>
    </row>
    <row r="83" spans="1:23" ht="15" customHeight="1" x14ac:dyDescent="0.2">
      <c r="A83" s="37"/>
      <c r="B83" s="37"/>
      <c r="C83" s="37"/>
      <c r="D83" s="37"/>
      <c r="E83" s="37"/>
      <c r="F83" s="37"/>
      <c r="G83" s="37"/>
      <c r="H83" s="37"/>
      <c r="I83" s="37"/>
      <c r="J83" s="37"/>
      <c r="K83" s="37"/>
      <c r="L83" s="37"/>
      <c r="M83" s="37"/>
      <c r="N83" s="37"/>
      <c r="O83" s="37"/>
      <c r="P83" s="37"/>
      <c r="Q83" s="27"/>
      <c r="R83" s="27"/>
      <c r="S83" s="27"/>
      <c r="T83" s="27"/>
      <c r="U83" s="27"/>
      <c r="V83" s="27"/>
      <c r="W83" s="27"/>
    </row>
    <row r="84" spans="1:23" ht="15" customHeight="1" x14ac:dyDescent="0.2">
      <c r="A84" s="37"/>
      <c r="B84" s="37"/>
      <c r="C84" s="37"/>
      <c r="D84" s="37"/>
      <c r="E84" s="37"/>
      <c r="F84" s="37"/>
      <c r="G84" s="37"/>
      <c r="H84" s="37"/>
      <c r="I84" s="37"/>
      <c r="J84" s="37"/>
      <c r="K84" s="37"/>
      <c r="L84" s="37"/>
      <c r="M84" s="37"/>
      <c r="N84" s="37"/>
      <c r="O84" s="37"/>
      <c r="P84" s="37"/>
      <c r="Q84" s="27"/>
      <c r="R84" s="27"/>
      <c r="S84" s="27"/>
      <c r="T84" s="27"/>
      <c r="U84" s="27"/>
      <c r="V84" s="27"/>
      <c r="W84" s="27"/>
    </row>
    <row r="85" spans="1:23" ht="15" customHeight="1" x14ac:dyDescent="0.2">
      <c r="A85" s="37"/>
      <c r="B85" s="37"/>
      <c r="C85" s="37"/>
      <c r="D85" s="37"/>
      <c r="E85" s="37"/>
      <c r="F85" s="37"/>
      <c r="G85" s="37"/>
      <c r="H85" s="37"/>
      <c r="I85" s="37"/>
      <c r="J85" s="37"/>
      <c r="K85" s="37"/>
      <c r="L85" s="37"/>
      <c r="M85" s="37"/>
      <c r="N85" s="37"/>
      <c r="O85" s="37"/>
      <c r="P85" s="37"/>
      <c r="Q85" s="27"/>
      <c r="R85" s="27"/>
      <c r="S85" s="27"/>
      <c r="T85" s="27"/>
      <c r="U85" s="27"/>
      <c r="V85" s="27"/>
      <c r="W85" s="27"/>
    </row>
    <row r="86" spans="1:23" ht="15" customHeight="1" x14ac:dyDescent="0.2">
      <c r="A86" s="37"/>
      <c r="B86" s="37"/>
      <c r="C86" s="37"/>
      <c r="D86" s="37"/>
      <c r="E86" s="37"/>
      <c r="F86" s="37"/>
      <c r="G86" s="37"/>
      <c r="H86" s="37"/>
      <c r="I86" s="37"/>
      <c r="J86" s="37"/>
      <c r="K86" s="37"/>
      <c r="L86" s="37"/>
      <c r="M86" s="37"/>
      <c r="N86" s="37"/>
      <c r="O86" s="37"/>
      <c r="P86" s="37"/>
      <c r="Q86" s="27"/>
      <c r="R86" s="27"/>
      <c r="S86" s="27"/>
      <c r="T86" s="27"/>
      <c r="U86" s="27"/>
      <c r="V86" s="27"/>
      <c r="W86" s="27"/>
    </row>
    <row r="87" spans="1:23" ht="15" customHeight="1" x14ac:dyDescent="0.2">
      <c r="A87" s="37"/>
      <c r="B87" s="37"/>
      <c r="C87" s="37"/>
      <c r="D87" s="37"/>
      <c r="E87" s="37"/>
      <c r="F87" s="37"/>
      <c r="G87" s="37"/>
      <c r="H87" s="37"/>
      <c r="I87" s="37"/>
      <c r="J87" s="37"/>
      <c r="K87" s="37"/>
      <c r="L87" s="37"/>
      <c r="M87" s="37"/>
      <c r="N87" s="37"/>
      <c r="O87" s="37"/>
      <c r="P87" s="37"/>
      <c r="Q87" s="27"/>
      <c r="R87" s="27"/>
      <c r="S87" s="27"/>
      <c r="T87" s="27"/>
      <c r="U87" s="27"/>
      <c r="V87" s="27"/>
      <c r="W87" s="27"/>
    </row>
    <row r="88" spans="1:23" ht="15" customHeight="1" x14ac:dyDescent="0.2">
      <c r="A88" s="37"/>
      <c r="B88" s="37"/>
      <c r="C88" s="37"/>
      <c r="D88" s="37"/>
      <c r="E88" s="37"/>
      <c r="F88" s="37"/>
      <c r="G88" s="37"/>
      <c r="H88" s="37"/>
      <c r="I88" s="37"/>
      <c r="J88" s="37"/>
      <c r="K88" s="37"/>
      <c r="L88" s="37"/>
      <c r="M88" s="37"/>
      <c r="N88" s="37"/>
      <c r="O88" s="37"/>
      <c r="P88" s="37"/>
      <c r="Q88" s="27"/>
      <c r="R88" s="27"/>
      <c r="S88" s="27"/>
      <c r="T88" s="27"/>
      <c r="U88" s="27"/>
      <c r="V88" s="27"/>
      <c r="W88" s="27"/>
    </row>
    <row r="89" spans="1:23" ht="15" customHeight="1" x14ac:dyDescent="0.2">
      <c r="A89" s="37"/>
      <c r="B89" s="37"/>
      <c r="C89" s="37"/>
      <c r="D89" s="37"/>
      <c r="E89" s="37"/>
      <c r="F89" s="37"/>
      <c r="G89" s="37"/>
      <c r="H89" s="37"/>
      <c r="I89" s="37"/>
      <c r="J89" s="37"/>
      <c r="K89" s="37"/>
      <c r="L89" s="37"/>
      <c r="M89" s="37"/>
      <c r="N89" s="37"/>
      <c r="O89" s="37"/>
      <c r="P89" s="37"/>
      <c r="Q89" s="27"/>
      <c r="R89" s="27"/>
      <c r="S89" s="27"/>
      <c r="T89" s="27"/>
      <c r="U89" s="27"/>
      <c r="V89" s="27"/>
      <c r="W89" s="27"/>
    </row>
    <row r="90" spans="1:23" ht="15" customHeight="1" x14ac:dyDescent="0.2">
      <c r="A90" s="37"/>
      <c r="B90" s="37"/>
      <c r="C90" s="37"/>
      <c r="D90" s="37"/>
      <c r="E90" s="37"/>
      <c r="F90" s="37"/>
      <c r="G90" s="37"/>
      <c r="H90" s="37"/>
      <c r="I90" s="37"/>
      <c r="J90" s="37"/>
      <c r="K90" s="37"/>
      <c r="L90" s="37"/>
      <c r="M90" s="37"/>
      <c r="N90" s="37"/>
      <c r="O90" s="37"/>
      <c r="P90" s="37"/>
      <c r="Q90" s="27"/>
      <c r="R90" s="27"/>
      <c r="S90" s="27"/>
      <c r="T90" s="27"/>
      <c r="U90" s="27"/>
      <c r="V90" s="27"/>
      <c r="W90" s="27"/>
    </row>
    <row r="91" spans="1:23" ht="15" customHeight="1" x14ac:dyDescent="0.2">
      <c r="A91" s="37"/>
      <c r="B91" s="37"/>
      <c r="C91" s="37"/>
      <c r="D91" s="37"/>
      <c r="E91" s="37"/>
      <c r="F91" s="37"/>
      <c r="G91" s="37"/>
      <c r="H91" s="37"/>
      <c r="I91" s="37"/>
      <c r="J91" s="37"/>
      <c r="K91" s="37"/>
      <c r="L91" s="37"/>
      <c r="M91" s="37"/>
      <c r="N91" s="37"/>
      <c r="O91" s="37"/>
      <c r="P91" s="37"/>
      <c r="Q91" s="27"/>
      <c r="R91" s="27"/>
      <c r="S91" s="27"/>
      <c r="T91" s="27"/>
      <c r="U91" s="27"/>
      <c r="V91" s="27"/>
      <c r="W91" s="27"/>
    </row>
    <row r="92" spans="1:23" ht="15" customHeight="1" x14ac:dyDescent="0.2">
      <c r="A92" s="37"/>
      <c r="B92" s="37"/>
      <c r="C92" s="37"/>
      <c r="D92" s="37"/>
      <c r="E92" s="37"/>
      <c r="F92" s="37"/>
      <c r="G92" s="37"/>
      <c r="H92" s="37"/>
      <c r="I92" s="37"/>
      <c r="J92" s="37"/>
      <c r="K92" s="37"/>
      <c r="L92" s="37"/>
      <c r="M92" s="37"/>
      <c r="N92" s="37"/>
      <c r="O92" s="37"/>
      <c r="P92" s="37"/>
      <c r="Q92" s="27"/>
      <c r="R92" s="27"/>
      <c r="S92" s="27"/>
      <c r="T92" s="27"/>
      <c r="U92" s="27"/>
      <c r="V92" s="27"/>
      <c r="W92" s="27"/>
    </row>
    <row r="93" spans="1:23" ht="15" customHeight="1" x14ac:dyDescent="0.2">
      <c r="A93" s="37"/>
      <c r="B93" s="37"/>
      <c r="C93" s="37"/>
      <c r="D93" s="37"/>
      <c r="E93" s="37"/>
      <c r="F93" s="37"/>
      <c r="G93" s="37"/>
      <c r="H93" s="37"/>
      <c r="I93" s="37"/>
      <c r="J93" s="37"/>
      <c r="K93" s="37"/>
      <c r="L93" s="37"/>
      <c r="M93" s="37"/>
      <c r="N93" s="37"/>
      <c r="O93" s="37"/>
      <c r="P93" s="37"/>
      <c r="Q93" s="27"/>
      <c r="R93" s="27"/>
      <c r="S93" s="27"/>
      <c r="T93" s="27"/>
      <c r="U93" s="27"/>
      <c r="V93" s="27"/>
      <c r="W93" s="27"/>
    </row>
    <row r="94" spans="1:23" ht="15" customHeight="1" x14ac:dyDescent="0.2">
      <c r="A94" s="37"/>
      <c r="B94" s="37"/>
      <c r="C94" s="37"/>
      <c r="D94" s="37"/>
      <c r="E94" s="37"/>
      <c r="F94" s="37"/>
      <c r="G94" s="37"/>
      <c r="H94" s="37"/>
      <c r="I94" s="37"/>
      <c r="J94" s="37"/>
      <c r="K94" s="37"/>
      <c r="L94" s="37"/>
      <c r="M94" s="37"/>
      <c r="N94" s="37"/>
      <c r="O94" s="37"/>
      <c r="P94" s="37"/>
      <c r="Q94" s="27"/>
      <c r="R94" s="27"/>
      <c r="S94" s="27"/>
      <c r="T94" s="27"/>
      <c r="U94" s="27"/>
      <c r="V94" s="27"/>
      <c r="W94" s="27"/>
    </row>
    <row r="95" spans="1:23" ht="15" customHeight="1" x14ac:dyDescent="0.2">
      <c r="A95" s="37"/>
      <c r="B95" s="37"/>
      <c r="C95" s="37"/>
      <c r="D95" s="37"/>
      <c r="E95" s="37"/>
      <c r="F95" s="37"/>
      <c r="G95" s="37"/>
      <c r="H95" s="37"/>
      <c r="I95" s="37"/>
      <c r="J95" s="37"/>
      <c r="K95" s="37"/>
      <c r="L95" s="37"/>
      <c r="M95" s="37"/>
      <c r="N95" s="37"/>
      <c r="O95" s="37"/>
      <c r="P95" s="37"/>
      <c r="Q95" s="27"/>
      <c r="R95" s="27"/>
      <c r="S95" s="27"/>
      <c r="T95" s="27"/>
      <c r="U95" s="27"/>
      <c r="V95" s="27"/>
      <c r="W95" s="27"/>
    </row>
    <row r="96" spans="1:23" ht="15" customHeight="1" x14ac:dyDescent="0.2">
      <c r="A96" s="37"/>
      <c r="B96" s="37"/>
      <c r="C96" s="37"/>
      <c r="D96" s="37"/>
      <c r="E96" s="37"/>
      <c r="F96" s="37"/>
      <c r="G96" s="37"/>
      <c r="H96" s="37"/>
      <c r="I96" s="37"/>
      <c r="J96" s="37"/>
      <c r="K96" s="37"/>
      <c r="L96" s="37"/>
      <c r="M96" s="37"/>
      <c r="N96" s="37"/>
      <c r="O96" s="37"/>
      <c r="P96" s="37"/>
      <c r="Q96" s="27"/>
      <c r="R96" s="27"/>
      <c r="S96" s="27"/>
      <c r="T96" s="27"/>
      <c r="U96" s="27"/>
      <c r="V96" s="27"/>
      <c r="W96" s="27"/>
    </row>
    <row r="97" spans="1:23" ht="15" customHeight="1" x14ac:dyDescent="0.2">
      <c r="A97" s="37"/>
      <c r="B97" s="37"/>
      <c r="C97" s="37"/>
      <c r="D97" s="37"/>
      <c r="E97" s="37"/>
      <c r="F97" s="37"/>
      <c r="G97" s="37"/>
      <c r="H97" s="37"/>
      <c r="I97" s="37"/>
      <c r="J97" s="37"/>
      <c r="K97" s="37"/>
      <c r="L97" s="37"/>
      <c r="M97" s="37"/>
      <c r="N97" s="37"/>
      <c r="O97" s="37"/>
      <c r="P97" s="37"/>
      <c r="Q97" s="27"/>
      <c r="R97" s="27"/>
      <c r="S97" s="27"/>
      <c r="T97" s="27"/>
      <c r="U97" s="27"/>
      <c r="V97" s="27"/>
      <c r="W97" s="27"/>
    </row>
    <row r="98" spans="1:23" ht="15" customHeight="1" x14ac:dyDescent="0.2">
      <c r="A98" s="37"/>
      <c r="B98" s="37"/>
      <c r="C98" s="37"/>
      <c r="D98" s="37"/>
      <c r="E98" s="37"/>
      <c r="F98" s="37"/>
      <c r="G98" s="37"/>
      <c r="H98" s="37"/>
      <c r="I98" s="37"/>
      <c r="J98" s="37"/>
      <c r="K98" s="37"/>
      <c r="L98" s="37"/>
      <c r="M98" s="37"/>
      <c r="N98" s="37"/>
      <c r="O98" s="37"/>
      <c r="P98" s="37"/>
      <c r="Q98" s="27"/>
      <c r="R98" s="27"/>
      <c r="S98" s="27"/>
      <c r="T98" s="27"/>
      <c r="U98" s="27"/>
      <c r="V98" s="27"/>
      <c r="W98" s="27"/>
    </row>
    <row r="99" spans="1:23" ht="15" customHeight="1" x14ac:dyDescent="0.2">
      <c r="A99" s="37"/>
      <c r="B99" s="37"/>
      <c r="C99" s="37"/>
      <c r="D99" s="37"/>
      <c r="E99" s="37"/>
      <c r="F99" s="37"/>
      <c r="G99" s="37"/>
      <c r="H99" s="37"/>
      <c r="I99" s="37"/>
      <c r="J99" s="37"/>
      <c r="K99" s="37"/>
      <c r="L99" s="37"/>
      <c r="M99" s="37"/>
      <c r="N99" s="37"/>
      <c r="O99" s="37"/>
      <c r="P99" s="37"/>
      <c r="Q99" s="27"/>
      <c r="R99" s="27"/>
      <c r="S99" s="27"/>
      <c r="T99" s="27"/>
      <c r="U99" s="27"/>
      <c r="V99" s="27"/>
      <c r="W99" s="27"/>
    </row>
    <row r="100" spans="1:23" ht="15" customHeight="1" x14ac:dyDescent="0.2">
      <c r="A100" s="37"/>
      <c r="B100" s="37"/>
      <c r="C100" s="37"/>
      <c r="D100" s="37"/>
      <c r="E100" s="37"/>
      <c r="F100" s="37"/>
      <c r="G100" s="37"/>
      <c r="H100" s="37"/>
      <c r="I100" s="37"/>
      <c r="J100" s="37"/>
      <c r="K100" s="37"/>
      <c r="L100" s="37"/>
      <c r="M100" s="37"/>
      <c r="N100" s="37"/>
      <c r="O100" s="37"/>
      <c r="P100" s="37"/>
      <c r="Q100" s="27"/>
      <c r="R100" s="27"/>
      <c r="S100" s="27"/>
      <c r="T100" s="27"/>
      <c r="U100" s="27"/>
      <c r="V100" s="27"/>
      <c r="W100" s="27"/>
    </row>
    <row r="101" spans="1:23" ht="15" customHeight="1" x14ac:dyDescent="0.2">
      <c r="A101" s="37"/>
      <c r="B101" s="37"/>
      <c r="C101" s="37"/>
      <c r="D101" s="37"/>
      <c r="E101" s="37"/>
      <c r="F101" s="37"/>
      <c r="G101" s="37"/>
      <c r="H101" s="37"/>
      <c r="I101" s="37"/>
      <c r="J101" s="37"/>
      <c r="K101" s="37"/>
      <c r="L101" s="37"/>
      <c r="M101" s="37"/>
      <c r="N101" s="37"/>
      <c r="O101" s="37"/>
      <c r="P101" s="37"/>
      <c r="Q101" s="27"/>
      <c r="R101" s="27"/>
      <c r="S101" s="27"/>
      <c r="T101" s="27"/>
      <c r="U101" s="27"/>
      <c r="V101" s="27"/>
      <c r="W101" s="27"/>
    </row>
    <row r="102" spans="1:23" ht="15" customHeight="1" x14ac:dyDescent="0.2">
      <c r="A102" s="37"/>
      <c r="B102" s="37"/>
      <c r="C102" s="37"/>
      <c r="D102" s="37"/>
      <c r="E102" s="37"/>
      <c r="F102" s="37"/>
      <c r="G102" s="37"/>
      <c r="H102" s="37"/>
      <c r="I102" s="37"/>
      <c r="J102" s="37"/>
      <c r="K102" s="37"/>
      <c r="L102" s="37"/>
      <c r="M102" s="37"/>
      <c r="N102" s="37"/>
      <c r="O102" s="37"/>
      <c r="P102" s="37"/>
      <c r="Q102" s="27"/>
      <c r="R102" s="27"/>
      <c r="S102" s="27"/>
      <c r="T102" s="27"/>
      <c r="U102" s="27"/>
      <c r="V102" s="27"/>
      <c r="W102" s="27"/>
    </row>
    <row r="103" spans="1:23" ht="15" customHeight="1" x14ac:dyDescent="0.2">
      <c r="A103" s="37"/>
      <c r="B103" s="37"/>
      <c r="C103" s="37"/>
      <c r="D103" s="37"/>
      <c r="E103" s="37"/>
      <c r="F103" s="37"/>
      <c r="G103" s="37"/>
      <c r="H103" s="37"/>
      <c r="I103" s="37"/>
      <c r="J103" s="37"/>
      <c r="K103" s="37"/>
      <c r="L103" s="37"/>
      <c r="M103" s="37"/>
      <c r="N103" s="37"/>
      <c r="O103" s="37"/>
      <c r="P103" s="37"/>
      <c r="Q103" s="27"/>
      <c r="R103" s="27"/>
      <c r="S103" s="27"/>
      <c r="T103" s="27"/>
      <c r="U103" s="27"/>
      <c r="V103" s="27"/>
      <c r="W103" s="27"/>
    </row>
    <row r="104" spans="1:23" ht="15" customHeight="1" x14ac:dyDescent="0.2">
      <c r="A104" s="37"/>
      <c r="B104" s="37"/>
      <c r="C104" s="37"/>
      <c r="D104" s="37"/>
      <c r="E104" s="37"/>
      <c r="F104" s="37"/>
      <c r="G104" s="37"/>
      <c r="H104" s="37"/>
      <c r="I104" s="37"/>
      <c r="J104" s="37"/>
      <c r="K104" s="37"/>
      <c r="L104" s="37"/>
      <c r="M104" s="37"/>
      <c r="N104" s="37"/>
      <c r="O104" s="37"/>
      <c r="P104" s="37"/>
      <c r="Q104" s="27"/>
      <c r="R104" s="27"/>
      <c r="S104" s="27"/>
      <c r="T104" s="27"/>
      <c r="U104" s="27"/>
      <c r="V104" s="27"/>
      <c r="W104" s="27"/>
    </row>
    <row r="105" spans="1:23" ht="15" customHeight="1" x14ac:dyDescent="0.2">
      <c r="A105" s="37"/>
      <c r="B105" s="37"/>
      <c r="C105" s="37"/>
      <c r="D105" s="37"/>
      <c r="E105" s="37"/>
      <c r="F105" s="37"/>
      <c r="G105" s="37"/>
      <c r="H105" s="37"/>
      <c r="I105" s="37"/>
      <c r="J105" s="37"/>
      <c r="K105" s="37"/>
      <c r="L105" s="37"/>
      <c r="M105" s="37"/>
      <c r="N105" s="37"/>
      <c r="O105" s="37"/>
      <c r="P105" s="37"/>
      <c r="Q105" s="27"/>
      <c r="R105" s="27"/>
      <c r="S105" s="27"/>
      <c r="T105" s="27"/>
      <c r="U105" s="27"/>
      <c r="V105" s="27"/>
      <c r="W105" s="27"/>
    </row>
    <row r="106" spans="1:23" ht="15" customHeight="1" x14ac:dyDescent="0.2">
      <c r="A106" s="37"/>
      <c r="B106" s="37"/>
      <c r="C106" s="37"/>
      <c r="D106" s="37"/>
      <c r="E106" s="37"/>
      <c r="F106" s="37"/>
      <c r="G106" s="37"/>
      <c r="H106" s="37"/>
      <c r="I106" s="37"/>
      <c r="J106" s="37"/>
      <c r="K106" s="37"/>
      <c r="L106" s="37"/>
      <c r="M106" s="37"/>
      <c r="N106" s="37"/>
      <c r="O106" s="37"/>
      <c r="P106" s="37"/>
      <c r="Q106" s="27"/>
      <c r="R106" s="27"/>
      <c r="S106" s="27"/>
      <c r="T106" s="27"/>
      <c r="U106" s="27"/>
      <c r="V106" s="27"/>
      <c r="W106" s="27"/>
    </row>
    <row r="107" spans="1:23" ht="15" customHeight="1" x14ac:dyDescent="0.2">
      <c r="A107" s="37"/>
      <c r="B107" s="37"/>
      <c r="C107" s="37"/>
      <c r="D107" s="37"/>
      <c r="E107" s="37"/>
      <c r="F107" s="37"/>
      <c r="G107" s="37"/>
      <c r="H107" s="37"/>
      <c r="I107" s="37"/>
      <c r="J107" s="37"/>
      <c r="K107" s="37"/>
      <c r="L107" s="37"/>
      <c r="M107" s="37"/>
      <c r="N107" s="37"/>
      <c r="O107" s="37"/>
      <c r="P107" s="37"/>
      <c r="Q107" s="27"/>
      <c r="R107" s="27"/>
      <c r="S107" s="27"/>
      <c r="T107" s="27"/>
      <c r="U107" s="27"/>
      <c r="V107" s="27"/>
      <c r="W107" s="27"/>
    </row>
    <row r="108" spans="1:23" ht="15" customHeight="1" x14ac:dyDescent="0.2">
      <c r="A108" s="37"/>
      <c r="B108" s="37"/>
      <c r="C108" s="37"/>
      <c r="D108" s="37"/>
      <c r="E108" s="37"/>
      <c r="F108" s="37"/>
      <c r="G108" s="37"/>
      <c r="H108" s="37"/>
      <c r="I108" s="37"/>
      <c r="J108" s="37"/>
      <c r="K108" s="37"/>
      <c r="L108" s="37"/>
      <c r="M108" s="37"/>
      <c r="N108" s="37"/>
      <c r="O108" s="37"/>
      <c r="P108" s="37"/>
      <c r="Q108" s="27"/>
      <c r="R108" s="27"/>
      <c r="S108" s="27"/>
      <c r="T108" s="27"/>
      <c r="U108" s="27"/>
      <c r="V108" s="27"/>
      <c r="W108" s="27"/>
    </row>
    <row r="109" spans="1:23" ht="15" customHeight="1" x14ac:dyDescent="0.2">
      <c r="A109" s="37"/>
      <c r="B109" s="37"/>
      <c r="C109" s="37"/>
      <c r="D109" s="37"/>
      <c r="E109" s="37"/>
      <c r="F109" s="37"/>
      <c r="G109" s="37"/>
      <c r="H109" s="37"/>
      <c r="I109" s="37"/>
      <c r="J109" s="37"/>
      <c r="K109" s="37"/>
      <c r="L109" s="37"/>
      <c r="M109" s="37"/>
      <c r="N109" s="37"/>
      <c r="O109" s="37"/>
      <c r="P109" s="37"/>
      <c r="Q109" s="27"/>
      <c r="R109" s="27"/>
      <c r="S109" s="27"/>
      <c r="T109" s="27"/>
      <c r="U109" s="27"/>
      <c r="V109" s="27"/>
      <c r="W109" s="27"/>
    </row>
    <row r="110" spans="1:23" ht="15" customHeight="1" x14ac:dyDescent="0.2">
      <c r="A110" s="37"/>
      <c r="B110" s="37"/>
      <c r="C110" s="37"/>
      <c r="D110" s="37"/>
      <c r="E110" s="37"/>
      <c r="F110" s="37"/>
      <c r="G110" s="37"/>
      <c r="H110" s="37"/>
      <c r="I110" s="37"/>
      <c r="J110" s="37"/>
      <c r="K110" s="37"/>
      <c r="L110" s="37"/>
      <c r="M110" s="37"/>
      <c r="N110" s="37"/>
      <c r="O110" s="37"/>
      <c r="P110" s="37"/>
      <c r="Q110" s="27"/>
      <c r="R110" s="27"/>
      <c r="S110" s="27"/>
      <c r="T110" s="27"/>
      <c r="U110" s="27"/>
      <c r="V110" s="27"/>
      <c r="W110" s="27"/>
    </row>
    <row r="111" spans="1:23" ht="15" customHeight="1" x14ac:dyDescent="0.2">
      <c r="A111" s="37"/>
      <c r="B111" s="37"/>
      <c r="C111" s="37"/>
      <c r="D111" s="37"/>
      <c r="E111" s="37"/>
      <c r="F111" s="37"/>
      <c r="G111" s="37"/>
      <c r="H111" s="37"/>
      <c r="I111" s="37"/>
      <c r="J111" s="37"/>
      <c r="K111" s="37"/>
      <c r="L111" s="37"/>
      <c r="M111" s="37"/>
      <c r="N111" s="37"/>
      <c r="O111" s="37"/>
      <c r="P111" s="37"/>
      <c r="Q111" s="27"/>
      <c r="R111" s="27"/>
      <c r="S111" s="27"/>
      <c r="T111" s="27"/>
      <c r="U111" s="27"/>
      <c r="V111" s="27"/>
      <c r="W111" s="27"/>
    </row>
    <row r="112" spans="1:23" ht="15" customHeight="1" x14ac:dyDescent="0.2">
      <c r="A112" s="37"/>
      <c r="B112" s="37"/>
      <c r="C112" s="37"/>
      <c r="D112" s="37"/>
      <c r="E112" s="37"/>
      <c r="F112" s="37"/>
      <c r="G112" s="37"/>
      <c r="H112" s="37"/>
      <c r="I112" s="37"/>
      <c r="J112" s="37"/>
      <c r="K112" s="37"/>
      <c r="L112" s="37"/>
      <c r="M112" s="37"/>
      <c r="N112" s="37"/>
      <c r="O112" s="37"/>
      <c r="P112" s="37"/>
      <c r="Q112" s="27"/>
      <c r="R112" s="27"/>
      <c r="S112" s="27"/>
      <c r="T112" s="27"/>
      <c r="U112" s="27"/>
      <c r="V112" s="27"/>
      <c r="W112" s="27"/>
    </row>
    <row r="113" spans="1:23" ht="15" customHeight="1" x14ac:dyDescent="0.2">
      <c r="A113" s="37"/>
      <c r="B113" s="37"/>
      <c r="C113" s="37"/>
      <c r="D113" s="37"/>
      <c r="E113" s="37"/>
      <c r="F113" s="37"/>
      <c r="G113" s="37"/>
      <c r="H113" s="37"/>
      <c r="I113" s="37"/>
      <c r="J113" s="37"/>
      <c r="K113" s="37"/>
      <c r="L113" s="37"/>
      <c r="M113" s="37"/>
      <c r="N113" s="37"/>
      <c r="O113" s="37"/>
      <c r="P113" s="37"/>
      <c r="Q113" s="27"/>
      <c r="R113" s="27"/>
      <c r="S113" s="27"/>
      <c r="T113" s="27"/>
      <c r="U113" s="27"/>
      <c r="V113" s="27"/>
      <c r="W113" s="27"/>
    </row>
    <row r="114" spans="1:23" ht="15" customHeight="1" x14ac:dyDescent="0.2">
      <c r="A114" s="37"/>
      <c r="B114" s="37"/>
      <c r="C114" s="37"/>
      <c r="D114" s="37"/>
      <c r="E114" s="37"/>
      <c r="F114" s="37"/>
      <c r="G114" s="37"/>
      <c r="H114" s="37"/>
      <c r="I114" s="37"/>
      <c r="J114" s="37"/>
      <c r="K114" s="37"/>
      <c r="L114" s="37"/>
      <c r="M114" s="37"/>
      <c r="N114" s="37"/>
      <c r="O114" s="37"/>
      <c r="P114" s="37"/>
      <c r="Q114" s="27"/>
      <c r="R114" s="27"/>
      <c r="S114" s="27"/>
      <c r="T114" s="27"/>
      <c r="U114" s="27"/>
      <c r="V114" s="27"/>
      <c r="W114" s="27"/>
    </row>
    <row r="115" spans="1:23" ht="15" customHeight="1" x14ac:dyDescent="0.2">
      <c r="A115" s="37"/>
      <c r="B115" s="37"/>
      <c r="C115" s="37"/>
      <c r="D115" s="37"/>
      <c r="E115" s="37"/>
      <c r="F115" s="37"/>
      <c r="G115" s="37"/>
      <c r="H115" s="37"/>
      <c r="I115" s="37"/>
      <c r="J115" s="37"/>
      <c r="K115" s="37"/>
      <c r="L115" s="37"/>
      <c r="M115" s="37"/>
      <c r="N115" s="37"/>
      <c r="O115" s="37"/>
      <c r="P115" s="37"/>
      <c r="Q115" s="27"/>
      <c r="R115" s="27"/>
      <c r="S115" s="27"/>
      <c r="T115" s="27"/>
      <c r="U115" s="27"/>
      <c r="V115" s="27"/>
      <c r="W115" s="27"/>
    </row>
    <row r="116" spans="1:23" ht="15" customHeight="1" x14ac:dyDescent="0.2">
      <c r="A116" s="37"/>
      <c r="B116" s="37"/>
      <c r="C116" s="37"/>
      <c r="D116" s="37"/>
      <c r="E116" s="37"/>
      <c r="F116" s="37"/>
      <c r="G116" s="37"/>
      <c r="H116" s="37"/>
      <c r="I116" s="37"/>
      <c r="J116" s="37"/>
      <c r="K116" s="37"/>
      <c r="L116" s="37"/>
      <c r="M116" s="37"/>
      <c r="N116" s="37"/>
      <c r="O116" s="37"/>
      <c r="P116" s="37"/>
      <c r="Q116" s="27"/>
      <c r="R116" s="27"/>
      <c r="S116" s="27"/>
      <c r="T116" s="27"/>
      <c r="U116" s="27"/>
      <c r="V116" s="27"/>
      <c r="W116" s="27"/>
    </row>
    <row r="117" spans="1:23" ht="15" customHeight="1" x14ac:dyDescent="0.2">
      <c r="A117" s="37"/>
      <c r="B117" s="37"/>
      <c r="C117" s="37"/>
      <c r="D117" s="37"/>
      <c r="E117" s="37"/>
      <c r="F117" s="37"/>
      <c r="G117" s="37"/>
      <c r="H117" s="37"/>
      <c r="I117" s="37"/>
      <c r="J117" s="37"/>
      <c r="K117" s="37"/>
      <c r="L117" s="37"/>
      <c r="M117" s="37"/>
      <c r="N117" s="37"/>
      <c r="O117" s="37"/>
      <c r="P117" s="37"/>
      <c r="Q117" s="27"/>
      <c r="R117" s="27"/>
      <c r="S117" s="27"/>
      <c r="T117" s="27"/>
      <c r="U117" s="27"/>
      <c r="V117" s="27"/>
      <c r="W117" s="27"/>
    </row>
    <row r="118" spans="1:23" ht="15" customHeight="1" x14ac:dyDescent="0.2">
      <c r="A118" s="37"/>
      <c r="B118" s="37"/>
      <c r="C118" s="37"/>
      <c r="D118" s="37"/>
      <c r="E118" s="37"/>
      <c r="F118" s="37"/>
      <c r="G118" s="37"/>
      <c r="H118" s="37"/>
      <c r="I118" s="37"/>
      <c r="J118" s="37"/>
      <c r="K118" s="37"/>
      <c r="L118" s="37"/>
      <c r="M118" s="37"/>
      <c r="N118" s="37"/>
      <c r="O118" s="37"/>
      <c r="P118" s="37"/>
      <c r="Q118" s="27"/>
      <c r="R118" s="27"/>
      <c r="S118" s="27"/>
      <c r="T118" s="27"/>
      <c r="U118" s="27"/>
      <c r="V118" s="27"/>
      <c r="W118" s="27"/>
    </row>
    <row r="119" spans="1:23" ht="15" customHeight="1" x14ac:dyDescent="0.2">
      <c r="A119" s="37"/>
      <c r="B119" s="37"/>
      <c r="C119" s="37"/>
      <c r="D119" s="37"/>
      <c r="E119" s="37"/>
      <c r="F119" s="37"/>
      <c r="G119" s="37"/>
      <c r="H119" s="37"/>
      <c r="I119" s="37"/>
      <c r="J119" s="37"/>
      <c r="K119" s="37"/>
      <c r="L119" s="37"/>
      <c r="M119" s="37"/>
      <c r="N119" s="37"/>
      <c r="O119" s="37"/>
      <c r="P119" s="37"/>
      <c r="Q119" s="27"/>
      <c r="R119" s="27"/>
      <c r="S119" s="27"/>
      <c r="T119" s="27"/>
      <c r="U119" s="27"/>
      <c r="V119" s="27"/>
      <c r="W119" s="27"/>
    </row>
    <row r="120" spans="1:23" ht="15" customHeight="1" x14ac:dyDescent="0.2">
      <c r="A120" s="37"/>
      <c r="B120" s="37"/>
      <c r="C120" s="37"/>
      <c r="D120" s="37"/>
      <c r="E120" s="37"/>
      <c r="F120" s="37"/>
      <c r="G120" s="37"/>
      <c r="H120" s="37"/>
      <c r="I120" s="37"/>
      <c r="J120" s="37"/>
      <c r="K120" s="37"/>
      <c r="L120" s="37"/>
      <c r="M120" s="37"/>
      <c r="N120" s="37"/>
      <c r="O120" s="37"/>
      <c r="P120" s="37"/>
      <c r="Q120" s="27"/>
      <c r="R120" s="27"/>
      <c r="S120" s="27"/>
      <c r="T120" s="27"/>
      <c r="U120" s="27"/>
      <c r="V120" s="27"/>
      <c r="W120" s="27"/>
    </row>
    <row r="121" spans="1:23" ht="15" customHeight="1" x14ac:dyDescent="0.2">
      <c r="A121" s="37"/>
      <c r="B121" s="37"/>
      <c r="C121" s="37"/>
      <c r="D121" s="37"/>
      <c r="E121" s="37"/>
      <c r="F121" s="37"/>
      <c r="G121" s="37"/>
      <c r="H121" s="37"/>
      <c r="I121" s="37"/>
      <c r="J121" s="37"/>
      <c r="K121" s="37"/>
      <c r="L121" s="37"/>
      <c r="M121" s="37"/>
      <c r="N121" s="37"/>
      <c r="O121" s="37"/>
      <c r="P121" s="37"/>
      <c r="Q121" s="27"/>
      <c r="R121" s="27"/>
      <c r="S121" s="27"/>
      <c r="T121" s="27"/>
      <c r="U121" s="27"/>
      <c r="V121" s="27"/>
      <c r="W121" s="27"/>
    </row>
    <row r="122" spans="1:23" ht="15" customHeight="1" x14ac:dyDescent="0.2">
      <c r="A122" s="37"/>
      <c r="B122" s="37"/>
      <c r="C122" s="37"/>
      <c r="D122" s="37"/>
      <c r="E122" s="37"/>
      <c r="F122" s="37"/>
      <c r="G122" s="37"/>
      <c r="H122" s="37"/>
      <c r="I122" s="37"/>
      <c r="J122" s="37"/>
      <c r="K122" s="37"/>
      <c r="L122" s="37"/>
      <c r="M122" s="37"/>
      <c r="N122" s="37"/>
      <c r="O122" s="37"/>
      <c r="P122" s="37"/>
      <c r="Q122" s="27"/>
      <c r="R122" s="27"/>
      <c r="S122" s="27"/>
      <c r="T122" s="27"/>
      <c r="U122" s="27"/>
      <c r="V122" s="27"/>
      <c r="W122" s="27"/>
    </row>
    <row r="123" spans="1:23" ht="15" customHeight="1" x14ac:dyDescent="0.2">
      <c r="A123" s="37"/>
      <c r="B123" s="37"/>
      <c r="C123" s="37"/>
      <c r="D123" s="37"/>
      <c r="E123" s="37"/>
      <c r="F123" s="37"/>
      <c r="G123" s="37"/>
      <c r="H123" s="37"/>
      <c r="I123" s="37"/>
      <c r="J123" s="37"/>
      <c r="K123" s="37"/>
      <c r="L123" s="37"/>
      <c r="M123" s="37"/>
      <c r="N123" s="37"/>
      <c r="O123" s="37"/>
      <c r="P123" s="37"/>
      <c r="Q123" s="27"/>
      <c r="R123" s="27"/>
      <c r="S123" s="27"/>
      <c r="T123" s="27"/>
      <c r="U123" s="27"/>
      <c r="V123" s="27"/>
      <c r="W123" s="27"/>
    </row>
    <row r="124" spans="1:23" ht="15" customHeight="1" x14ac:dyDescent="0.2">
      <c r="A124" s="37"/>
      <c r="B124" s="37"/>
      <c r="C124" s="37"/>
      <c r="D124" s="37"/>
      <c r="E124" s="37"/>
      <c r="F124" s="37"/>
      <c r="G124" s="37"/>
      <c r="H124" s="37"/>
      <c r="I124" s="37"/>
      <c r="J124" s="37"/>
      <c r="K124" s="37"/>
      <c r="L124" s="37"/>
      <c r="M124" s="37"/>
      <c r="N124" s="37"/>
      <c r="O124" s="37"/>
      <c r="P124" s="37"/>
      <c r="Q124" s="27"/>
      <c r="R124" s="27"/>
      <c r="S124" s="27"/>
      <c r="T124" s="27"/>
      <c r="U124" s="27"/>
      <c r="V124" s="27"/>
      <c r="W124" s="27"/>
    </row>
    <row r="125" spans="1:23" ht="15" customHeight="1" x14ac:dyDescent="0.2">
      <c r="A125" s="37"/>
      <c r="B125" s="37"/>
      <c r="C125" s="37"/>
      <c r="D125" s="37"/>
      <c r="E125" s="37"/>
      <c r="F125" s="37"/>
      <c r="G125" s="37"/>
      <c r="H125" s="37"/>
      <c r="I125" s="37"/>
      <c r="J125" s="37"/>
      <c r="K125" s="37"/>
      <c r="L125" s="37"/>
      <c r="M125" s="37"/>
      <c r="N125" s="37"/>
      <c r="O125" s="37"/>
      <c r="P125" s="37"/>
      <c r="Q125" s="27"/>
      <c r="R125" s="27"/>
      <c r="S125" s="27"/>
      <c r="T125" s="27"/>
      <c r="U125" s="27"/>
      <c r="V125" s="27"/>
      <c r="W125" s="27"/>
    </row>
    <row r="126" spans="1:23" ht="15" customHeight="1" x14ac:dyDescent="0.2">
      <c r="A126" s="37"/>
      <c r="B126" s="37"/>
      <c r="C126" s="37"/>
      <c r="D126" s="37"/>
      <c r="E126" s="37"/>
      <c r="F126" s="37"/>
      <c r="G126" s="37"/>
      <c r="H126" s="37"/>
      <c r="I126" s="37"/>
      <c r="J126" s="37"/>
      <c r="K126" s="37"/>
      <c r="L126" s="37"/>
      <c r="M126" s="37"/>
      <c r="N126" s="37"/>
      <c r="O126" s="37"/>
      <c r="P126" s="37"/>
      <c r="Q126" s="27"/>
      <c r="R126" s="27"/>
      <c r="S126" s="27"/>
      <c r="T126" s="27"/>
      <c r="U126" s="27"/>
      <c r="V126" s="27"/>
      <c r="W126" s="27"/>
    </row>
    <row r="127" spans="1:23" ht="15" customHeight="1" x14ac:dyDescent="0.2">
      <c r="A127" s="37"/>
      <c r="B127" s="37"/>
      <c r="C127" s="37"/>
      <c r="D127" s="37"/>
      <c r="E127" s="37"/>
      <c r="F127" s="37"/>
      <c r="G127" s="37"/>
      <c r="H127" s="37"/>
      <c r="I127" s="37"/>
      <c r="J127" s="37"/>
      <c r="K127" s="37"/>
      <c r="L127" s="37"/>
      <c r="M127" s="37"/>
      <c r="N127" s="37"/>
      <c r="O127" s="37"/>
      <c r="P127" s="37"/>
      <c r="Q127" s="27"/>
      <c r="R127" s="27"/>
      <c r="S127" s="27"/>
      <c r="T127" s="27"/>
      <c r="U127" s="27"/>
      <c r="V127" s="27"/>
      <c r="W127" s="27"/>
    </row>
    <row r="128" spans="1:23" ht="15" customHeight="1" x14ac:dyDescent="0.2">
      <c r="A128" s="37"/>
      <c r="B128" s="37"/>
      <c r="C128" s="37"/>
      <c r="D128" s="37"/>
      <c r="E128" s="37"/>
      <c r="F128" s="37"/>
      <c r="G128" s="37"/>
      <c r="H128" s="37"/>
      <c r="I128" s="37"/>
      <c r="J128" s="37"/>
      <c r="K128" s="37"/>
      <c r="L128" s="37"/>
      <c r="M128" s="37"/>
      <c r="N128" s="37"/>
      <c r="O128" s="37"/>
      <c r="P128" s="37"/>
      <c r="Q128" s="27"/>
      <c r="R128" s="27"/>
      <c r="S128" s="27"/>
      <c r="T128" s="27"/>
      <c r="U128" s="27"/>
      <c r="V128" s="27"/>
      <c r="W128" s="27"/>
    </row>
    <row r="129" spans="1:23" ht="15" customHeight="1" x14ac:dyDescent="0.2">
      <c r="A129" s="37"/>
      <c r="B129" s="37"/>
      <c r="C129" s="37"/>
      <c r="D129" s="37"/>
      <c r="E129" s="37"/>
      <c r="F129" s="37"/>
      <c r="G129" s="37"/>
      <c r="H129" s="37"/>
      <c r="I129" s="37"/>
      <c r="J129" s="37"/>
      <c r="K129" s="37"/>
      <c r="L129" s="37"/>
      <c r="M129" s="37"/>
      <c r="N129" s="37"/>
      <c r="O129" s="37"/>
      <c r="P129" s="37"/>
      <c r="Q129" s="27"/>
      <c r="R129" s="27"/>
      <c r="S129" s="27"/>
      <c r="T129" s="27"/>
      <c r="U129" s="27"/>
      <c r="V129" s="27"/>
      <c r="W129" s="27"/>
    </row>
    <row r="130" spans="1:23" ht="15" customHeight="1" x14ac:dyDescent="0.2">
      <c r="A130" s="37"/>
      <c r="B130" s="37"/>
      <c r="C130" s="37"/>
      <c r="D130" s="37"/>
      <c r="E130" s="37"/>
      <c r="F130" s="37"/>
      <c r="G130" s="37"/>
      <c r="H130" s="37"/>
      <c r="I130" s="37"/>
      <c r="J130" s="37"/>
      <c r="K130" s="37"/>
      <c r="L130" s="37"/>
      <c r="M130" s="37"/>
      <c r="N130" s="37"/>
      <c r="O130" s="37"/>
      <c r="P130" s="37"/>
      <c r="Q130" s="27"/>
      <c r="R130" s="27"/>
      <c r="S130" s="27"/>
      <c r="T130" s="27"/>
      <c r="U130" s="27"/>
      <c r="V130" s="27"/>
      <c r="W130" s="27"/>
    </row>
    <row r="131" spans="1:23" ht="15" customHeight="1" x14ac:dyDescent="0.2">
      <c r="A131" s="37"/>
      <c r="B131" s="37"/>
      <c r="C131" s="37"/>
      <c r="D131" s="37"/>
      <c r="E131" s="37"/>
      <c r="F131" s="37"/>
      <c r="G131" s="37"/>
      <c r="H131" s="37"/>
      <c r="I131" s="37"/>
      <c r="J131" s="37"/>
      <c r="K131" s="37"/>
      <c r="L131" s="37"/>
      <c r="M131" s="37"/>
      <c r="N131" s="37"/>
      <c r="O131" s="37"/>
      <c r="P131" s="37"/>
      <c r="Q131" s="27"/>
      <c r="R131" s="27"/>
      <c r="S131" s="27"/>
      <c r="T131" s="27"/>
      <c r="U131" s="27"/>
      <c r="V131" s="27"/>
      <c r="W131" s="27"/>
    </row>
    <row r="132" spans="1:23" ht="15" customHeight="1" x14ac:dyDescent="0.2">
      <c r="A132" s="37"/>
      <c r="B132" s="37"/>
      <c r="C132" s="37"/>
      <c r="D132" s="37"/>
      <c r="E132" s="37"/>
      <c r="F132" s="37"/>
      <c r="G132" s="37"/>
      <c r="H132" s="37"/>
      <c r="I132" s="37"/>
      <c r="J132" s="37"/>
      <c r="K132" s="37"/>
      <c r="L132" s="37"/>
      <c r="M132" s="37"/>
      <c r="N132" s="37"/>
      <c r="O132" s="37"/>
      <c r="P132" s="37"/>
      <c r="Q132" s="27"/>
      <c r="R132" s="27"/>
      <c r="S132" s="27"/>
      <c r="T132" s="27"/>
      <c r="U132" s="27"/>
      <c r="V132" s="27"/>
      <c r="W132" s="27"/>
    </row>
    <row r="133" spans="1:23" ht="15" customHeight="1" x14ac:dyDescent="0.2">
      <c r="A133" s="37"/>
      <c r="B133" s="37"/>
      <c r="C133" s="37"/>
      <c r="D133" s="37"/>
      <c r="E133" s="37"/>
      <c r="F133" s="37"/>
      <c r="G133" s="37"/>
      <c r="H133" s="37"/>
      <c r="I133" s="37"/>
      <c r="J133" s="37"/>
      <c r="K133" s="37"/>
      <c r="L133" s="37"/>
      <c r="M133" s="37"/>
      <c r="N133" s="37"/>
      <c r="O133" s="37"/>
      <c r="P133" s="37"/>
      <c r="Q133" s="27"/>
      <c r="R133" s="27"/>
      <c r="S133" s="27"/>
      <c r="T133" s="27"/>
      <c r="U133" s="27"/>
      <c r="V133" s="27"/>
      <c r="W133" s="27"/>
    </row>
    <row r="134" spans="1:23" ht="15" customHeight="1" x14ac:dyDescent="0.2">
      <c r="A134" s="37"/>
      <c r="B134" s="37"/>
      <c r="C134" s="37"/>
      <c r="D134" s="37"/>
      <c r="E134" s="37"/>
      <c r="F134" s="37"/>
      <c r="G134" s="37"/>
      <c r="H134" s="37"/>
      <c r="I134" s="37"/>
      <c r="J134" s="37"/>
      <c r="K134" s="37"/>
      <c r="L134" s="37"/>
      <c r="M134" s="37"/>
      <c r="N134" s="37"/>
      <c r="O134" s="37"/>
      <c r="P134" s="37"/>
      <c r="Q134" s="27"/>
      <c r="R134" s="27"/>
      <c r="S134" s="27"/>
      <c r="T134" s="27"/>
      <c r="U134" s="27"/>
      <c r="V134" s="27"/>
      <c r="W134" s="27"/>
    </row>
    <row r="135" spans="1:23" ht="15" customHeight="1" x14ac:dyDescent="0.2">
      <c r="A135" s="37"/>
      <c r="B135" s="37"/>
      <c r="C135" s="37"/>
      <c r="D135" s="37"/>
      <c r="E135" s="37"/>
      <c r="F135" s="37"/>
      <c r="G135" s="37"/>
      <c r="H135" s="37"/>
      <c r="I135" s="37"/>
      <c r="J135" s="37"/>
      <c r="K135" s="37"/>
      <c r="L135" s="37"/>
      <c r="M135" s="37"/>
      <c r="N135" s="37"/>
      <c r="O135" s="37"/>
      <c r="P135" s="37"/>
      <c r="Q135" s="27"/>
      <c r="R135" s="27"/>
      <c r="S135" s="27"/>
      <c r="T135" s="27"/>
      <c r="U135" s="27"/>
      <c r="V135" s="27"/>
      <c r="W135" s="27"/>
    </row>
    <row r="136" spans="1:23" ht="15" customHeight="1" x14ac:dyDescent="0.2">
      <c r="A136" s="37"/>
      <c r="B136" s="37"/>
      <c r="C136" s="37"/>
      <c r="D136" s="37"/>
      <c r="E136" s="37"/>
      <c r="F136" s="37"/>
      <c r="G136" s="37"/>
      <c r="H136" s="37"/>
      <c r="I136" s="37"/>
      <c r="J136" s="37"/>
      <c r="K136" s="37"/>
      <c r="L136" s="37"/>
      <c r="M136" s="37"/>
      <c r="N136" s="37"/>
      <c r="O136" s="37"/>
      <c r="P136" s="37"/>
      <c r="Q136" s="27"/>
      <c r="R136" s="27"/>
      <c r="S136" s="27"/>
      <c r="T136" s="27"/>
      <c r="U136" s="27"/>
      <c r="V136" s="27"/>
      <c r="W136" s="27"/>
    </row>
    <row r="137" spans="1:23" ht="15" customHeight="1" x14ac:dyDescent="0.2">
      <c r="A137" s="37"/>
      <c r="B137" s="37"/>
      <c r="C137" s="37"/>
      <c r="D137" s="37"/>
      <c r="E137" s="37"/>
      <c r="F137" s="37"/>
      <c r="G137" s="37"/>
      <c r="H137" s="37"/>
      <c r="I137" s="37"/>
      <c r="J137" s="37"/>
      <c r="K137" s="37"/>
      <c r="L137" s="37"/>
      <c r="M137" s="37"/>
      <c r="N137" s="37"/>
      <c r="O137" s="37"/>
      <c r="P137" s="37"/>
      <c r="Q137" s="27"/>
      <c r="R137" s="27"/>
      <c r="S137" s="27"/>
      <c r="T137" s="27"/>
      <c r="U137" s="27"/>
      <c r="V137" s="27"/>
      <c r="W137" s="27"/>
    </row>
    <row r="138" spans="1:23" ht="15" customHeight="1" x14ac:dyDescent="0.2">
      <c r="A138" s="37"/>
      <c r="B138" s="37"/>
      <c r="C138" s="37"/>
      <c r="D138" s="37"/>
      <c r="E138" s="37"/>
      <c r="F138" s="37"/>
      <c r="G138" s="37"/>
      <c r="H138" s="37"/>
      <c r="I138" s="37"/>
      <c r="J138" s="37"/>
      <c r="K138" s="37"/>
      <c r="L138" s="37"/>
      <c r="M138" s="37"/>
      <c r="N138" s="37"/>
      <c r="O138" s="37"/>
      <c r="P138" s="37"/>
      <c r="Q138" s="27"/>
      <c r="R138" s="27"/>
      <c r="S138" s="27"/>
      <c r="T138" s="27"/>
      <c r="U138" s="27"/>
      <c r="V138" s="27"/>
      <c r="W138" s="27"/>
    </row>
    <row r="139" spans="1:23" ht="15" customHeight="1" x14ac:dyDescent="0.2">
      <c r="A139" s="37"/>
      <c r="B139" s="37"/>
      <c r="C139" s="37"/>
      <c r="D139" s="37"/>
      <c r="E139" s="37"/>
      <c r="F139" s="37"/>
      <c r="G139" s="37"/>
      <c r="H139" s="37"/>
      <c r="I139" s="37"/>
      <c r="J139" s="37"/>
      <c r="K139" s="37"/>
      <c r="L139" s="37"/>
      <c r="M139" s="37"/>
      <c r="N139" s="37"/>
      <c r="O139" s="37"/>
      <c r="P139" s="37"/>
      <c r="Q139" s="27"/>
      <c r="R139" s="27"/>
      <c r="S139" s="27"/>
      <c r="T139" s="27"/>
      <c r="U139" s="27"/>
      <c r="V139" s="27"/>
      <c r="W139" s="27"/>
    </row>
    <row r="140" spans="1:23" ht="15" customHeight="1" x14ac:dyDescent="0.2">
      <c r="A140" s="37"/>
      <c r="B140" s="37"/>
      <c r="C140" s="37"/>
      <c r="D140" s="37"/>
      <c r="E140" s="37"/>
      <c r="F140" s="37"/>
      <c r="G140" s="37"/>
      <c r="H140" s="37"/>
      <c r="I140" s="37"/>
      <c r="J140" s="37"/>
      <c r="K140" s="37"/>
      <c r="L140" s="37"/>
      <c r="M140" s="37"/>
      <c r="N140" s="37"/>
      <c r="O140" s="37"/>
      <c r="P140" s="37"/>
      <c r="Q140" s="27"/>
      <c r="R140" s="27"/>
      <c r="S140" s="27"/>
      <c r="T140" s="27"/>
      <c r="U140" s="27"/>
      <c r="V140" s="27"/>
      <c r="W140" s="27"/>
    </row>
    <row r="141" spans="1:23" ht="15" customHeight="1" x14ac:dyDescent="0.2">
      <c r="A141" s="37"/>
      <c r="B141" s="37"/>
      <c r="C141" s="37"/>
      <c r="D141" s="37"/>
      <c r="E141" s="37"/>
      <c r="F141" s="37"/>
      <c r="G141" s="37"/>
      <c r="H141" s="37"/>
      <c r="I141" s="37"/>
      <c r="J141" s="37"/>
      <c r="K141" s="37"/>
      <c r="L141" s="37"/>
      <c r="M141" s="37"/>
      <c r="N141" s="37"/>
      <c r="O141" s="37"/>
      <c r="P141" s="37"/>
      <c r="Q141" s="27"/>
      <c r="R141" s="27"/>
      <c r="S141" s="27"/>
      <c r="T141" s="27"/>
      <c r="U141" s="27"/>
      <c r="V141" s="27"/>
      <c r="W141" s="27"/>
    </row>
    <row r="142" spans="1:23" ht="15" customHeight="1" x14ac:dyDescent="0.2">
      <c r="A142" s="37"/>
      <c r="B142" s="37"/>
      <c r="C142" s="37"/>
      <c r="D142" s="37"/>
      <c r="E142" s="37"/>
      <c r="F142" s="37"/>
      <c r="G142" s="37"/>
      <c r="H142" s="37"/>
      <c r="I142" s="37"/>
      <c r="J142" s="37"/>
      <c r="K142" s="37"/>
      <c r="L142" s="37"/>
      <c r="M142" s="37"/>
      <c r="N142" s="37"/>
      <c r="O142" s="37"/>
      <c r="P142" s="37"/>
      <c r="Q142" s="27"/>
      <c r="R142" s="27"/>
      <c r="S142" s="27"/>
      <c r="T142" s="27"/>
      <c r="U142" s="27"/>
      <c r="V142" s="27"/>
      <c r="W142" s="27"/>
    </row>
    <row r="143" spans="1:23" ht="15" customHeight="1" x14ac:dyDescent="0.2">
      <c r="A143" s="37"/>
      <c r="B143" s="37"/>
      <c r="C143" s="37"/>
      <c r="D143" s="37"/>
      <c r="E143" s="37"/>
      <c r="F143" s="37"/>
      <c r="G143" s="37"/>
      <c r="H143" s="37"/>
      <c r="I143" s="37"/>
      <c r="J143" s="37"/>
      <c r="K143" s="37"/>
      <c r="L143" s="37"/>
      <c r="M143" s="37"/>
      <c r="N143" s="37"/>
      <c r="O143" s="37"/>
      <c r="P143" s="37"/>
      <c r="Q143" s="27"/>
      <c r="R143" s="27"/>
      <c r="S143" s="27"/>
      <c r="T143" s="27"/>
      <c r="U143" s="27"/>
      <c r="V143" s="27"/>
      <c r="W143" s="27"/>
    </row>
    <row r="144" spans="1:23" ht="15" customHeight="1" x14ac:dyDescent="0.2">
      <c r="A144" s="37"/>
      <c r="B144" s="37"/>
      <c r="C144" s="37"/>
      <c r="D144" s="37"/>
      <c r="E144" s="37"/>
      <c r="F144" s="37"/>
      <c r="G144" s="37"/>
      <c r="H144" s="37"/>
      <c r="I144" s="37"/>
      <c r="J144" s="37"/>
      <c r="K144" s="37"/>
      <c r="L144" s="37"/>
      <c r="M144" s="37"/>
      <c r="N144" s="37"/>
      <c r="O144" s="37"/>
      <c r="P144" s="37"/>
      <c r="Q144" s="27"/>
      <c r="R144" s="27"/>
      <c r="S144" s="27"/>
      <c r="T144" s="27"/>
      <c r="U144" s="27"/>
      <c r="V144" s="27"/>
      <c r="W144" s="27"/>
    </row>
    <row r="145" spans="1:23" ht="15" customHeight="1" x14ac:dyDescent="0.2">
      <c r="A145" s="37"/>
      <c r="B145" s="37"/>
      <c r="C145" s="37"/>
      <c r="D145" s="37"/>
      <c r="E145" s="37"/>
      <c r="F145" s="37"/>
      <c r="G145" s="37"/>
      <c r="H145" s="37"/>
      <c r="I145" s="37"/>
      <c r="J145" s="37"/>
      <c r="K145" s="37"/>
      <c r="L145" s="37"/>
      <c r="M145" s="37"/>
      <c r="N145" s="37"/>
      <c r="O145" s="37"/>
      <c r="P145" s="37"/>
      <c r="Q145" s="27"/>
      <c r="R145" s="27"/>
      <c r="S145" s="27"/>
      <c r="T145" s="27"/>
      <c r="U145" s="27"/>
      <c r="V145" s="27"/>
      <c r="W145" s="27"/>
    </row>
    <row r="146" spans="1:23" ht="15" customHeight="1" x14ac:dyDescent="0.2">
      <c r="A146" s="37"/>
      <c r="B146" s="37"/>
      <c r="C146" s="37"/>
      <c r="D146" s="37"/>
      <c r="E146" s="37"/>
      <c r="F146" s="37"/>
      <c r="G146" s="37"/>
      <c r="H146" s="37"/>
      <c r="I146" s="37"/>
      <c r="J146" s="37"/>
      <c r="K146" s="37"/>
      <c r="L146" s="37"/>
      <c r="M146" s="37"/>
      <c r="N146" s="37"/>
      <c r="O146" s="37"/>
      <c r="P146" s="37"/>
      <c r="Q146" s="27"/>
      <c r="R146" s="27"/>
      <c r="S146" s="27"/>
      <c r="T146" s="27"/>
      <c r="U146" s="27"/>
      <c r="V146" s="27"/>
      <c r="W146" s="27"/>
    </row>
    <row r="147" spans="1:23" ht="15" customHeight="1" x14ac:dyDescent="0.2">
      <c r="A147" s="37"/>
      <c r="B147" s="37"/>
      <c r="C147" s="37"/>
      <c r="D147" s="37"/>
      <c r="E147" s="37"/>
      <c r="F147" s="37"/>
      <c r="G147" s="37"/>
      <c r="H147" s="37"/>
      <c r="I147" s="37"/>
      <c r="J147" s="37"/>
      <c r="K147" s="37"/>
      <c r="L147" s="37"/>
      <c r="M147" s="37"/>
      <c r="N147" s="37"/>
      <c r="O147" s="37"/>
      <c r="P147" s="37"/>
      <c r="Q147" s="27"/>
      <c r="R147" s="27"/>
      <c r="S147" s="27"/>
      <c r="T147" s="27"/>
      <c r="U147" s="27"/>
      <c r="V147" s="27"/>
      <c r="W147" s="27"/>
    </row>
    <row r="148" spans="1:23" ht="15" customHeight="1" x14ac:dyDescent="0.2">
      <c r="A148" s="37"/>
      <c r="B148" s="37"/>
      <c r="C148" s="37"/>
      <c r="D148" s="37"/>
      <c r="E148" s="37"/>
      <c r="F148" s="37"/>
      <c r="G148" s="37"/>
      <c r="H148" s="37"/>
      <c r="I148" s="37"/>
      <c r="J148" s="37"/>
      <c r="K148" s="37"/>
      <c r="L148" s="37"/>
      <c r="M148" s="37"/>
      <c r="N148" s="37"/>
      <c r="O148" s="37"/>
      <c r="P148" s="37"/>
      <c r="Q148" s="27"/>
      <c r="R148" s="27"/>
      <c r="S148" s="27"/>
      <c r="T148" s="27"/>
      <c r="U148" s="27"/>
      <c r="V148" s="27"/>
      <c r="W148" s="27"/>
    </row>
    <row r="149" spans="1:23" ht="15" customHeight="1" x14ac:dyDescent="0.2">
      <c r="A149" s="37"/>
      <c r="B149" s="37"/>
      <c r="C149" s="37"/>
      <c r="D149" s="37"/>
      <c r="E149" s="37"/>
      <c r="F149" s="37"/>
      <c r="G149" s="37"/>
      <c r="H149" s="37"/>
      <c r="I149" s="37"/>
      <c r="J149" s="37"/>
      <c r="K149" s="37"/>
      <c r="L149" s="37"/>
      <c r="M149" s="37"/>
      <c r="N149" s="37"/>
      <c r="O149" s="37"/>
      <c r="P149" s="37"/>
      <c r="Q149" s="27"/>
      <c r="R149" s="27"/>
      <c r="S149" s="27"/>
      <c r="T149" s="27"/>
      <c r="U149" s="27"/>
      <c r="V149" s="27"/>
      <c r="W149" s="27"/>
    </row>
    <row r="150" spans="1:23" ht="15" customHeight="1" x14ac:dyDescent="0.2">
      <c r="A150" s="37"/>
      <c r="B150" s="37"/>
      <c r="C150" s="37"/>
      <c r="D150" s="37"/>
      <c r="E150" s="37"/>
      <c r="F150" s="37"/>
      <c r="G150" s="37"/>
      <c r="H150" s="37"/>
      <c r="I150" s="37"/>
      <c r="J150" s="37"/>
      <c r="K150" s="37"/>
      <c r="L150" s="37"/>
      <c r="M150" s="37"/>
      <c r="N150" s="37"/>
      <c r="O150" s="37"/>
      <c r="P150" s="37"/>
      <c r="Q150" s="27"/>
      <c r="R150" s="27"/>
      <c r="S150" s="27"/>
      <c r="T150" s="27"/>
      <c r="U150" s="27"/>
      <c r="V150" s="27"/>
      <c r="W150" s="27"/>
    </row>
    <row r="151" spans="1:23" ht="15" customHeight="1" x14ac:dyDescent="0.2">
      <c r="A151" s="37"/>
      <c r="B151" s="37"/>
      <c r="C151" s="37"/>
      <c r="D151" s="37"/>
      <c r="E151" s="37"/>
      <c r="F151" s="37"/>
      <c r="G151" s="37"/>
      <c r="H151" s="37"/>
      <c r="I151" s="37"/>
      <c r="J151" s="37"/>
      <c r="K151" s="37"/>
      <c r="L151" s="37"/>
      <c r="M151" s="37"/>
      <c r="N151" s="37"/>
      <c r="O151" s="37"/>
      <c r="P151" s="37"/>
      <c r="Q151" s="27"/>
      <c r="R151" s="27"/>
      <c r="S151" s="27"/>
      <c r="T151" s="27"/>
      <c r="U151" s="27"/>
      <c r="V151" s="27"/>
      <c r="W151" s="27"/>
    </row>
    <row r="152" spans="1:23" ht="15" customHeight="1" x14ac:dyDescent="0.2">
      <c r="A152" s="37"/>
      <c r="B152" s="37"/>
      <c r="C152" s="37"/>
      <c r="D152" s="37"/>
      <c r="E152" s="37"/>
      <c r="F152" s="37"/>
      <c r="G152" s="37"/>
      <c r="H152" s="37"/>
      <c r="I152" s="37"/>
      <c r="J152" s="37"/>
      <c r="K152" s="37"/>
      <c r="L152" s="37"/>
      <c r="M152" s="37"/>
      <c r="N152" s="37"/>
      <c r="O152" s="37"/>
      <c r="P152" s="37"/>
      <c r="Q152" s="27"/>
      <c r="R152" s="27"/>
      <c r="S152" s="27"/>
      <c r="T152" s="27"/>
      <c r="U152" s="27"/>
      <c r="V152" s="27"/>
      <c r="W152" s="27"/>
    </row>
    <row r="153" spans="1:23" ht="15" customHeight="1" x14ac:dyDescent="0.2">
      <c r="A153" s="37"/>
      <c r="B153" s="37"/>
      <c r="C153" s="37"/>
      <c r="D153" s="37"/>
      <c r="E153" s="37"/>
      <c r="F153" s="37"/>
      <c r="G153" s="37"/>
      <c r="H153" s="37"/>
      <c r="I153" s="37"/>
      <c r="J153" s="37"/>
      <c r="K153" s="37"/>
      <c r="L153" s="37"/>
      <c r="M153" s="37"/>
      <c r="N153" s="37"/>
      <c r="O153" s="37"/>
      <c r="P153" s="37"/>
      <c r="Q153" s="27"/>
      <c r="R153" s="27"/>
      <c r="S153" s="27"/>
      <c r="T153" s="27"/>
      <c r="U153" s="27"/>
      <c r="V153" s="27"/>
      <c r="W153" s="27"/>
    </row>
    <row r="154" spans="1:23" ht="15" customHeight="1" x14ac:dyDescent="0.2">
      <c r="A154" s="37"/>
      <c r="B154" s="37"/>
      <c r="C154" s="37"/>
      <c r="D154" s="37"/>
      <c r="E154" s="37"/>
      <c r="F154" s="37"/>
      <c r="G154" s="37"/>
      <c r="H154" s="37"/>
      <c r="I154" s="37"/>
      <c r="J154" s="37"/>
      <c r="K154" s="37"/>
      <c r="L154" s="37"/>
      <c r="M154" s="37"/>
      <c r="N154" s="37"/>
      <c r="O154" s="37"/>
      <c r="P154" s="37"/>
      <c r="Q154" s="27"/>
      <c r="R154" s="27"/>
      <c r="S154" s="27"/>
      <c r="T154" s="27"/>
      <c r="U154" s="27"/>
      <c r="V154" s="27"/>
      <c r="W154" s="27"/>
    </row>
    <row r="155" spans="1:23" ht="15" customHeight="1" x14ac:dyDescent="0.2">
      <c r="A155" s="37"/>
      <c r="B155" s="37"/>
      <c r="C155" s="37"/>
      <c r="D155" s="37"/>
      <c r="E155" s="37"/>
      <c r="F155" s="37"/>
      <c r="G155" s="37"/>
      <c r="H155" s="37"/>
      <c r="I155" s="37"/>
      <c r="J155" s="37"/>
      <c r="K155" s="37"/>
      <c r="L155" s="37"/>
      <c r="M155" s="37"/>
      <c r="N155" s="37"/>
      <c r="O155" s="37"/>
      <c r="P155" s="37"/>
      <c r="Q155" s="27"/>
      <c r="R155" s="27"/>
      <c r="S155" s="27"/>
      <c r="T155" s="27"/>
      <c r="U155" s="27"/>
      <c r="V155" s="27"/>
      <c r="W155" s="27"/>
    </row>
    <row r="156" spans="1:23" ht="15" customHeight="1" x14ac:dyDescent="0.2">
      <c r="A156" s="37"/>
      <c r="B156" s="37"/>
      <c r="C156" s="37"/>
      <c r="D156" s="37"/>
      <c r="E156" s="37"/>
      <c r="F156" s="37"/>
      <c r="G156" s="37"/>
      <c r="H156" s="37"/>
      <c r="I156" s="37"/>
      <c r="J156" s="37"/>
      <c r="K156" s="37"/>
      <c r="L156" s="37"/>
      <c r="M156" s="37"/>
      <c r="N156" s="37"/>
      <c r="O156" s="37"/>
      <c r="P156" s="37"/>
      <c r="Q156" s="27"/>
      <c r="R156" s="27"/>
      <c r="S156" s="27"/>
      <c r="T156" s="27"/>
      <c r="U156" s="27"/>
      <c r="V156" s="27"/>
      <c r="W156" s="27"/>
    </row>
    <row r="157" spans="1:23" ht="15" customHeight="1" x14ac:dyDescent="0.2">
      <c r="A157" s="37"/>
      <c r="B157" s="37"/>
      <c r="C157" s="37"/>
      <c r="D157" s="37"/>
      <c r="E157" s="37"/>
      <c r="F157" s="37"/>
      <c r="G157" s="37"/>
      <c r="H157" s="37"/>
      <c r="I157" s="37"/>
      <c r="J157" s="37"/>
      <c r="K157" s="37"/>
      <c r="L157" s="37"/>
      <c r="M157" s="37"/>
      <c r="N157" s="37"/>
      <c r="O157" s="37"/>
      <c r="P157" s="37"/>
      <c r="Q157" s="27"/>
      <c r="R157" s="27"/>
      <c r="S157" s="27"/>
      <c r="T157" s="27"/>
      <c r="U157" s="27"/>
      <c r="V157" s="27"/>
      <c r="W157" s="27"/>
    </row>
    <row r="158" spans="1:23" ht="15" customHeight="1" x14ac:dyDescent="0.2">
      <c r="A158" s="37"/>
      <c r="B158" s="37"/>
      <c r="C158" s="37"/>
      <c r="D158" s="37"/>
      <c r="E158" s="37"/>
      <c r="F158" s="37"/>
      <c r="G158" s="37"/>
      <c r="H158" s="37"/>
      <c r="I158" s="37"/>
      <c r="J158" s="37"/>
      <c r="K158" s="37"/>
      <c r="L158" s="37"/>
      <c r="M158" s="37"/>
      <c r="N158" s="37"/>
      <c r="O158" s="37"/>
      <c r="P158" s="37"/>
      <c r="Q158" s="27"/>
      <c r="R158" s="27"/>
      <c r="S158" s="27"/>
      <c r="T158" s="27"/>
      <c r="U158" s="27"/>
      <c r="V158" s="27"/>
      <c r="W158" s="27"/>
    </row>
    <row r="159" spans="1:23" ht="15" customHeight="1" x14ac:dyDescent="0.2">
      <c r="A159" s="37"/>
      <c r="B159" s="37"/>
      <c r="C159" s="37"/>
      <c r="D159" s="37"/>
      <c r="E159" s="37"/>
      <c r="F159" s="37"/>
      <c r="G159" s="37"/>
      <c r="H159" s="37"/>
      <c r="I159" s="37"/>
      <c r="J159" s="37"/>
      <c r="K159" s="37"/>
      <c r="L159" s="37"/>
      <c r="M159" s="37"/>
      <c r="N159" s="37"/>
      <c r="O159" s="37"/>
      <c r="P159" s="37"/>
      <c r="Q159" s="27"/>
      <c r="R159" s="27"/>
      <c r="S159" s="27"/>
      <c r="T159" s="27"/>
      <c r="U159" s="27"/>
      <c r="V159" s="27"/>
      <c r="W159" s="27"/>
    </row>
    <row r="160" spans="1:23" ht="15" customHeight="1" x14ac:dyDescent="0.2">
      <c r="A160" s="37"/>
      <c r="B160" s="37"/>
      <c r="C160" s="37"/>
      <c r="D160" s="37"/>
      <c r="E160" s="37"/>
      <c r="F160" s="37"/>
      <c r="G160" s="37"/>
      <c r="H160" s="37"/>
      <c r="I160" s="37"/>
      <c r="J160" s="37"/>
      <c r="K160" s="37"/>
      <c r="L160" s="37"/>
      <c r="M160" s="37"/>
      <c r="N160" s="37"/>
      <c r="O160" s="37"/>
      <c r="P160" s="37"/>
      <c r="Q160" s="27"/>
      <c r="R160" s="27"/>
      <c r="S160" s="27"/>
      <c r="T160" s="27"/>
      <c r="U160" s="27"/>
      <c r="V160" s="27"/>
      <c r="W160" s="27"/>
    </row>
    <row r="161" spans="1:23" ht="15" customHeight="1" x14ac:dyDescent="0.2">
      <c r="A161" s="37"/>
      <c r="B161" s="37"/>
      <c r="C161" s="37"/>
      <c r="D161" s="37"/>
      <c r="E161" s="37"/>
      <c r="F161" s="37"/>
      <c r="G161" s="37"/>
      <c r="H161" s="37"/>
      <c r="I161" s="37"/>
      <c r="J161" s="37"/>
      <c r="K161" s="37"/>
      <c r="L161" s="37"/>
      <c r="M161" s="37"/>
      <c r="N161" s="37"/>
      <c r="O161" s="37"/>
      <c r="P161" s="37"/>
      <c r="Q161" s="27"/>
      <c r="R161" s="27"/>
      <c r="S161" s="27"/>
      <c r="T161" s="27"/>
      <c r="U161" s="27"/>
      <c r="V161" s="27"/>
      <c r="W161" s="27"/>
    </row>
    <row r="162" spans="1:23" ht="15" customHeight="1" x14ac:dyDescent="0.2">
      <c r="A162" s="37"/>
      <c r="B162" s="37"/>
      <c r="C162" s="37"/>
      <c r="D162" s="37"/>
      <c r="E162" s="37"/>
      <c r="F162" s="37"/>
      <c r="G162" s="37"/>
      <c r="H162" s="37"/>
      <c r="I162" s="37"/>
      <c r="J162" s="37"/>
      <c r="K162" s="37"/>
      <c r="L162" s="37"/>
      <c r="M162" s="37"/>
      <c r="N162" s="37"/>
      <c r="O162" s="37"/>
      <c r="P162" s="37"/>
      <c r="Q162" s="27"/>
      <c r="R162" s="27"/>
      <c r="S162" s="27"/>
      <c r="T162" s="27"/>
      <c r="U162" s="27"/>
      <c r="V162" s="27"/>
      <c r="W162" s="27"/>
    </row>
    <row r="163" spans="1:23" ht="15" customHeight="1" x14ac:dyDescent="0.2">
      <c r="A163" s="37"/>
      <c r="B163" s="37"/>
      <c r="C163" s="37"/>
      <c r="D163" s="37"/>
      <c r="E163" s="37"/>
      <c r="F163" s="37"/>
      <c r="G163" s="37"/>
      <c r="H163" s="37"/>
      <c r="I163" s="37"/>
      <c r="J163" s="37"/>
      <c r="K163" s="37"/>
      <c r="L163" s="37"/>
      <c r="M163" s="37"/>
      <c r="N163" s="37"/>
      <c r="O163" s="37"/>
      <c r="P163" s="37"/>
      <c r="Q163" s="27"/>
      <c r="R163" s="27"/>
      <c r="S163" s="27"/>
      <c r="T163" s="27"/>
      <c r="U163" s="27"/>
      <c r="V163" s="27"/>
      <c r="W163" s="27"/>
    </row>
    <row r="164" spans="1:23" ht="15" customHeight="1" x14ac:dyDescent="0.2">
      <c r="A164" s="37"/>
      <c r="B164" s="37"/>
      <c r="C164" s="37"/>
      <c r="D164" s="37"/>
      <c r="E164" s="37"/>
      <c r="F164" s="37"/>
      <c r="G164" s="37"/>
      <c r="H164" s="37"/>
      <c r="I164" s="37"/>
      <c r="J164" s="37"/>
      <c r="K164" s="37"/>
      <c r="L164" s="37"/>
      <c r="M164" s="37"/>
      <c r="N164" s="37"/>
      <c r="O164" s="37"/>
      <c r="P164" s="37"/>
      <c r="Q164" s="27"/>
      <c r="R164" s="27"/>
      <c r="S164" s="27"/>
      <c r="T164" s="27"/>
      <c r="U164" s="27"/>
      <c r="V164" s="27"/>
      <c r="W164" s="27"/>
    </row>
    <row r="165" spans="1:23" ht="15" customHeight="1" x14ac:dyDescent="0.2">
      <c r="A165" s="37"/>
      <c r="B165" s="37"/>
      <c r="C165" s="37"/>
      <c r="D165" s="37"/>
      <c r="E165" s="37"/>
      <c r="F165" s="37"/>
      <c r="G165" s="37"/>
      <c r="H165" s="37"/>
      <c r="I165" s="37"/>
      <c r="J165" s="37"/>
      <c r="K165" s="37"/>
      <c r="L165" s="37"/>
      <c r="M165" s="37"/>
      <c r="N165" s="37"/>
      <c r="O165" s="37"/>
      <c r="P165" s="37"/>
      <c r="Q165" s="27"/>
      <c r="R165" s="27"/>
      <c r="S165" s="27"/>
      <c r="T165" s="27"/>
      <c r="U165" s="27"/>
      <c r="V165" s="27"/>
      <c r="W165" s="27"/>
    </row>
    <row r="166" spans="1:23" ht="15" customHeight="1" x14ac:dyDescent="0.2">
      <c r="A166" s="37"/>
      <c r="B166" s="37"/>
      <c r="C166" s="37"/>
      <c r="D166" s="37"/>
      <c r="E166" s="37"/>
      <c r="F166" s="37"/>
      <c r="G166" s="37"/>
      <c r="H166" s="37"/>
      <c r="I166" s="37"/>
      <c r="J166" s="37"/>
      <c r="K166" s="37"/>
      <c r="L166" s="37"/>
      <c r="M166" s="37"/>
      <c r="N166" s="37"/>
      <c r="O166" s="37"/>
      <c r="P166" s="37"/>
      <c r="Q166" s="27"/>
      <c r="R166" s="27"/>
      <c r="S166" s="27"/>
      <c r="T166" s="27"/>
      <c r="U166" s="27"/>
      <c r="V166" s="27"/>
      <c r="W166" s="27"/>
    </row>
    <row r="167" spans="1:23" ht="15" customHeight="1" x14ac:dyDescent="0.2">
      <c r="A167" s="37"/>
      <c r="B167" s="37"/>
      <c r="C167" s="37"/>
      <c r="D167" s="37"/>
      <c r="E167" s="37"/>
      <c r="F167" s="37"/>
      <c r="G167" s="37"/>
      <c r="H167" s="37"/>
      <c r="I167" s="37"/>
      <c r="J167" s="37"/>
      <c r="K167" s="37"/>
      <c r="L167" s="37"/>
      <c r="M167" s="37"/>
      <c r="N167" s="37"/>
      <c r="O167" s="37"/>
      <c r="P167" s="37"/>
      <c r="Q167" s="27"/>
      <c r="R167" s="27"/>
      <c r="S167" s="27"/>
      <c r="T167" s="27"/>
      <c r="U167" s="27"/>
      <c r="V167" s="27"/>
      <c r="W167" s="27"/>
    </row>
    <row r="168" spans="1:23" ht="15" customHeight="1" x14ac:dyDescent="0.2">
      <c r="A168" s="37"/>
      <c r="B168" s="37"/>
      <c r="C168" s="37"/>
      <c r="D168" s="37"/>
      <c r="E168" s="37"/>
      <c r="F168" s="37"/>
      <c r="G168" s="37"/>
      <c r="H168" s="37"/>
      <c r="I168" s="37"/>
      <c r="J168" s="37"/>
      <c r="K168" s="37"/>
      <c r="L168" s="37"/>
      <c r="M168" s="37"/>
      <c r="N168" s="37"/>
      <c r="O168" s="37"/>
      <c r="P168" s="37"/>
      <c r="Q168" s="27"/>
      <c r="R168" s="27"/>
      <c r="S168" s="27"/>
      <c r="T168" s="27"/>
      <c r="U168" s="27"/>
      <c r="V168" s="27"/>
      <c r="W168" s="27"/>
    </row>
    <row r="169" spans="1:23" ht="15" customHeight="1" x14ac:dyDescent="0.2">
      <c r="A169" s="37"/>
      <c r="B169" s="37"/>
      <c r="C169" s="37"/>
      <c r="D169" s="37"/>
      <c r="E169" s="37"/>
      <c r="F169" s="37"/>
      <c r="G169" s="37"/>
      <c r="H169" s="37"/>
      <c r="I169" s="37"/>
      <c r="J169" s="37"/>
      <c r="K169" s="37"/>
      <c r="L169" s="37"/>
      <c r="M169" s="37"/>
      <c r="N169" s="37"/>
      <c r="O169" s="37"/>
      <c r="P169" s="37"/>
      <c r="Q169" s="27"/>
      <c r="R169" s="27"/>
      <c r="S169" s="27"/>
      <c r="T169" s="27"/>
      <c r="U169" s="27"/>
      <c r="V169" s="27"/>
      <c r="W169" s="27"/>
    </row>
    <row r="170" spans="1:23" ht="15" customHeight="1" x14ac:dyDescent="0.2">
      <c r="A170" s="37"/>
      <c r="B170" s="37"/>
      <c r="C170" s="37"/>
      <c r="D170" s="37"/>
      <c r="E170" s="37"/>
      <c r="F170" s="37"/>
      <c r="G170" s="37"/>
      <c r="H170" s="37"/>
      <c r="I170" s="37"/>
      <c r="J170" s="37"/>
      <c r="K170" s="37"/>
      <c r="L170" s="37"/>
      <c r="M170" s="37"/>
      <c r="N170" s="37"/>
      <c r="O170" s="37"/>
      <c r="P170" s="37"/>
      <c r="Q170" s="27"/>
      <c r="R170" s="27"/>
      <c r="S170" s="27"/>
      <c r="T170" s="27"/>
      <c r="U170" s="27"/>
      <c r="V170" s="27"/>
      <c r="W170" s="27"/>
    </row>
    <row r="171" spans="1:23" ht="15" customHeight="1" x14ac:dyDescent="0.2">
      <c r="A171" s="37"/>
      <c r="B171" s="37"/>
      <c r="C171" s="37"/>
      <c r="D171" s="37"/>
      <c r="E171" s="37"/>
      <c r="F171" s="37"/>
      <c r="G171" s="37"/>
      <c r="H171" s="37"/>
      <c r="I171" s="37"/>
      <c r="J171" s="37"/>
      <c r="K171" s="37"/>
      <c r="L171" s="37"/>
      <c r="M171" s="37"/>
      <c r="N171" s="37"/>
      <c r="O171" s="37"/>
      <c r="P171" s="37"/>
      <c r="Q171" s="27"/>
      <c r="R171" s="27"/>
      <c r="S171" s="27"/>
      <c r="T171" s="27"/>
      <c r="U171" s="27"/>
      <c r="V171" s="27"/>
      <c r="W171" s="27"/>
    </row>
    <row r="172" spans="1:23" ht="15" customHeight="1" x14ac:dyDescent="0.2">
      <c r="A172" s="37"/>
      <c r="B172" s="37"/>
      <c r="C172" s="37"/>
      <c r="D172" s="37"/>
      <c r="E172" s="37"/>
      <c r="F172" s="37"/>
      <c r="G172" s="37"/>
      <c r="H172" s="37"/>
      <c r="I172" s="37"/>
      <c r="J172" s="37"/>
      <c r="K172" s="37"/>
      <c r="L172" s="37"/>
      <c r="M172" s="37"/>
      <c r="N172" s="37"/>
      <c r="O172" s="37"/>
      <c r="P172" s="37"/>
      <c r="Q172" s="27"/>
      <c r="R172" s="27"/>
      <c r="S172" s="27"/>
      <c r="T172" s="27"/>
      <c r="U172" s="27"/>
      <c r="V172" s="27"/>
      <c r="W172" s="27"/>
    </row>
    <row r="173" spans="1:23" ht="15" customHeight="1" x14ac:dyDescent="0.2">
      <c r="A173" s="37"/>
      <c r="B173" s="37"/>
      <c r="C173" s="37"/>
      <c r="D173" s="37"/>
      <c r="E173" s="37"/>
      <c r="F173" s="37"/>
      <c r="G173" s="37"/>
      <c r="H173" s="37"/>
      <c r="I173" s="37"/>
      <c r="J173" s="37"/>
      <c r="K173" s="37"/>
      <c r="L173" s="37"/>
      <c r="M173" s="37"/>
      <c r="N173" s="37"/>
      <c r="O173" s="37"/>
      <c r="P173" s="37"/>
      <c r="Q173" s="27"/>
      <c r="R173" s="27"/>
      <c r="S173" s="27"/>
      <c r="T173" s="27"/>
      <c r="U173" s="27"/>
      <c r="V173" s="27"/>
      <c r="W173" s="27"/>
    </row>
    <row r="174" spans="1:23" ht="15" customHeight="1" x14ac:dyDescent="0.2">
      <c r="A174" s="37"/>
      <c r="B174" s="37"/>
      <c r="C174" s="37"/>
      <c r="D174" s="37"/>
      <c r="E174" s="37"/>
      <c r="F174" s="37"/>
      <c r="G174" s="37"/>
      <c r="H174" s="37"/>
      <c r="I174" s="37"/>
      <c r="J174" s="37"/>
      <c r="K174" s="37"/>
      <c r="L174" s="37"/>
      <c r="M174" s="37"/>
      <c r="N174" s="37"/>
      <c r="O174" s="37"/>
      <c r="P174" s="37"/>
      <c r="Q174" s="27"/>
      <c r="R174" s="27"/>
      <c r="S174" s="27"/>
      <c r="T174" s="27"/>
      <c r="U174" s="27"/>
      <c r="V174" s="27"/>
      <c r="W174" s="27"/>
    </row>
    <row r="175" spans="1:23" ht="15" customHeight="1" x14ac:dyDescent="0.2">
      <c r="A175" s="37"/>
      <c r="B175" s="37"/>
      <c r="C175" s="37"/>
      <c r="D175" s="37"/>
      <c r="E175" s="37"/>
      <c r="F175" s="37"/>
      <c r="G175" s="37"/>
      <c r="H175" s="37"/>
      <c r="I175" s="37"/>
      <c r="J175" s="37"/>
      <c r="K175" s="37"/>
      <c r="L175" s="37"/>
      <c r="M175" s="37"/>
      <c r="N175" s="37"/>
      <c r="O175" s="37"/>
      <c r="P175" s="37"/>
      <c r="Q175" s="27"/>
      <c r="R175" s="27"/>
      <c r="S175" s="27"/>
      <c r="T175" s="27"/>
      <c r="U175" s="27"/>
      <c r="V175" s="27"/>
      <c r="W175" s="27"/>
    </row>
    <row r="176" spans="1:23" ht="15" customHeight="1" x14ac:dyDescent="0.2">
      <c r="A176" s="37"/>
      <c r="B176" s="37"/>
      <c r="C176" s="37"/>
      <c r="D176" s="37"/>
      <c r="E176" s="37"/>
      <c r="F176" s="37"/>
      <c r="G176" s="37"/>
      <c r="H176" s="37"/>
      <c r="I176" s="37"/>
      <c r="J176" s="37"/>
      <c r="K176" s="37"/>
      <c r="L176" s="37"/>
      <c r="M176" s="37"/>
      <c r="N176" s="37"/>
      <c r="O176" s="37"/>
      <c r="P176" s="37"/>
      <c r="Q176" s="27"/>
      <c r="R176" s="27"/>
      <c r="S176" s="27"/>
      <c r="T176" s="27"/>
      <c r="U176" s="27"/>
      <c r="V176" s="27"/>
      <c r="W176" s="27"/>
    </row>
    <row r="177" spans="1:23" ht="15" customHeight="1" x14ac:dyDescent="0.2">
      <c r="A177" s="37"/>
      <c r="B177" s="37"/>
      <c r="C177" s="37"/>
      <c r="D177" s="37"/>
      <c r="E177" s="37"/>
      <c r="F177" s="37"/>
      <c r="G177" s="37"/>
      <c r="H177" s="37"/>
      <c r="I177" s="37"/>
      <c r="J177" s="37"/>
      <c r="K177" s="37"/>
      <c r="L177" s="37"/>
      <c r="M177" s="37"/>
      <c r="N177" s="37"/>
      <c r="O177" s="37"/>
      <c r="P177" s="37"/>
      <c r="Q177" s="27"/>
      <c r="R177" s="27"/>
      <c r="S177" s="27"/>
      <c r="T177" s="27"/>
      <c r="U177" s="27"/>
      <c r="V177" s="27"/>
      <c r="W177" s="27"/>
    </row>
    <row r="178" spans="1:23" ht="15" customHeight="1" x14ac:dyDescent="0.2">
      <c r="A178" s="37"/>
      <c r="B178" s="37"/>
      <c r="C178" s="37"/>
      <c r="D178" s="37"/>
      <c r="E178" s="37"/>
      <c r="F178" s="37"/>
      <c r="G178" s="37"/>
      <c r="H178" s="37"/>
      <c r="I178" s="37"/>
      <c r="J178" s="37"/>
      <c r="K178" s="37"/>
      <c r="L178" s="37"/>
      <c r="M178" s="37"/>
      <c r="N178" s="37"/>
      <c r="O178" s="37"/>
      <c r="P178" s="37"/>
      <c r="Q178" s="27"/>
      <c r="R178" s="27"/>
      <c r="S178" s="27"/>
      <c r="T178" s="27"/>
      <c r="U178" s="27"/>
      <c r="V178" s="27"/>
      <c r="W178" s="27"/>
    </row>
    <row r="179" spans="1:23" ht="15" customHeight="1" x14ac:dyDescent="0.2">
      <c r="A179" s="37"/>
      <c r="B179" s="37"/>
      <c r="C179" s="37"/>
      <c r="D179" s="37"/>
      <c r="E179" s="37"/>
      <c r="F179" s="37"/>
      <c r="G179" s="37"/>
      <c r="H179" s="37"/>
      <c r="I179" s="37"/>
      <c r="J179" s="37"/>
      <c r="K179" s="37"/>
      <c r="L179" s="37"/>
      <c r="M179" s="37"/>
      <c r="N179" s="37"/>
      <c r="O179" s="37"/>
      <c r="P179" s="37"/>
      <c r="Q179" s="27"/>
      <c r="R179" s="27"/>
      <c r="S179" s="27"/>
      <c r="T179" s="27"/>
      <c r="U179" s="27"/>
      <c r="V179" s="27"/>
      <c r="W179" s="27"/>
    </row>
    <row r="180" spans="1:23" ht="15" customHeight="1" x14ac:dyDescent="0.2">
      <c r="A180" s="37"/>
      <c r="B180" s="37"/>
      <c r="C180" s="37"/>
      <c r="D180" s="37"/>
      <c r="E180" s="37"/>
      <c r="F180" s="37"/>
      <c r="G180" s="37"/>
      <c r="H180" s="37"/>
      <c r="I180" s="37"/>
      <c r="J180" s="37"/>
      <c r="K180" s="37"/>
      <c r="L180" s="37"/>
      <c r="M180" s="37"/>
      <c r="N180" s="37"/>
      <c r="O180" s="37"/>
      <c r="P180" s="37"/>
      <c r="Q180" s="27"/>
      <c r="R180" s="27"/>
      <c r="S180" s="27"/>
      <c r="T180" s="27"/>
      <c r="U180" s="27"/>
      <c r="V180" s="27"/>
      <c r="W180" s="27"/>
    </row>
    <row r="181" spans="1:23" ht="15" customHeight="1" x14ac:dyDescent="0.2">
      <c r="A181" s="37"/>
      <c r="B181" s="37"/>
      <c r="C181" s="37"/>
      <c r="D181" s="37"/>
      <c r="E181" s="37"/>
      <c r="F181" s="37"/>
      <c r="G181" s="37"/>
      <c r="H181" s="37"/>
      <c r="I181" s="37"/>
      <c r="J181" s="37"/>
      <c r="K181" s="37"/>
      <c r="L181" s="37"/>
      <c r="M181" s="37"/>
      <c r="N181" s="37"/>
      <c r="O181" s="37"/>
      <c r="P181" s="37"/>
      <c r="Q181" s="27"/>
      <c r="R181" s="27"/>
      <c r="S181" s="27"/>
      <c r="T181" s="27"/>
      <c r="U181" s="27"/>
      <c r="V181" s="27"/>
      <c r="W181" s="27"/>
    </row>
    <row r="182" spans="1:23" ht="15" customHeight="1" x14ac:dyDescent="0.2">
      <c r="A182" s="37"/>
      <c r="B182" s="37"/>
      <c r="C182" s="37"/>
      <c r="D182" s="37"/>
      <c r="E182" s="37"/>
      <c r="F182" s="37"/>
      <c r="G182" s="37"/>
      <c r="H182" s="37"/>
      <c r="I182" s="37"/>
      <c r="J182" s="37"/>
      <c r="K182" s="37"/>
      <c r="L182" s="37"/>
      <c r="M182" s="37"/>
      <c r="N182" s="37"/>
      <c r="O182" s="37"/>
      <c r="P182" s="37"/>
      <c r="Q182" s="27"/>
      <c r="R182" s="27"/>
      <c r="S182" s="27"/>
      <c r="T182" s="27"/>
      <c r="U182" s="27"/>
      <c r="V182" s="27"/>
      <c r="W182" s="27"/>
    </row>
    <row r="183" spans="1:23" ht="15" customHeight="1" x14ac:dyDescent="0.2">
      <c r="A183" s="37"/>
      <c r="B183" s="37"/>
      <c r="C183" s="37"/>
      <c r="D183" s="37"/>
      <c r="E183" s="37"/>
      <c r="F183" s="37"/>
      <c r="G183" s="37"/>
      <c r="H183" s="37"/>
      <c r="I183" s="37"/>
      <c r="J183" s="37"/>
      <c r="K183" s="37"/>
      <c r="L183" s="37"/>
      <c r="M183" s="37"/>
      <c r="N183" s="37"/>
      <c r="O183" s="37"/>
      <c r="P183" s="37"/>
      <c r="Q183" s="27"/>
      <c r="R183" s="27"/>
      <c r="S183" s="27"/>
      <c r="T183" s="27"/>
      <c r="U183" s="27"/>
      <c r="V183" s="27"/>
      <c r="W183" s="27"/>
    </row>
    <row r="184" spans="1:23" ht="15" customHeight="1" x14ac:dyDescent="0.2">
      <c r="A184" s="37"/>
      <c r="B184" s="37"/>
      <c r="C184" s="37"/>
      <c r="D184" s="37"/>
      <c r="E184" s="37"/>
      <c r="F184" s="37"/>
      <c r="G184" s="37"/>
      <c r="H184" s="37"/>
      <c r="I184" s="37"/>
      <c r="J184" s="37"/>
      <c r="K184" s="37"/>
      <c r="L184" s="37"/>
      <c r="M184" s="37"/>
      <c r="N184" s="37"/>
      <c r="O184" s="37"/>
      <c r="P184" s="37"/>
      <c r="Q184" s="27"/>
      <c r="R184" s="27"/>
      <c r="S184" s="27"/>
      <c r="T184" s="27"/>
      <c r="U184" s="27"/>
      <c r="V184" s="27"/>
      <c r="W184" s="27"/>
    </row>
    <row r="185" spans="1:23" ht="15" customHeight="1" x14ac:dyDescent="0.2">
      <c r="A185" s="37"/>
      <c r="B185" s="37"/>
      <c r="C185" s="37"/>
      <c r="D185" s="37"/>
      <c r="E185" s="37"/>
      <c r="F185" s="37"/>
      <c r="G185" s="37"/>
      <c r="H185" s="37"/>
      <c r="I185" s="37"/>
      <c r="J185" s="37"/>
      <c r="K185" s="37"/>
      <c r="L185" s="37"/>
      <c r="M185" s="37"/>
      <c r="N185" s="37"/>
      <c r="O185" s="37"/>
      <c r="P185" s="37"/>
      <c r="Q185" s="27"/>
      <c r="R185" s="27"/>
      <c r="S185" s="27"/>
      <c r="T185" s="27"/>
      <c r="U185" s="27"/>
      <c r="V185" s="27"/>
      <c r="W185" s="27"/>
    </row>
    <row r="186" spans="1:23" ht="15" customHeight="1" x14ac:dyDescent="0.2">
      <c r="A186" s="37"/>
      <c r="B186" s="37"/>
      <c r="C186" s="37"/>
      <c r="D186" s="37"/>
      <c r="E186" s="37"/>
      <c r="F186" s="37"/>
      <c r="G186" s="37"/>
      <c r="H186" s="37"/>
      <c r="I186" s="37"/>
      <c r="J186" s="37"/>
      <c r="K186" s="37"/>
      <c r="L186" s="37"/>
      <c r="M186" s="37"/>
      <c r="N186" s="37"/>
      <c r="O186" s="37"/>
      <c r="P186" s="37"/>
      <c r="Q186" s="27"/>
      <c r="R186" s="27"/>
      <c r="S186" s="27"/>
      <c r="T186" s="27"/>
      <c r="U186" s="27"/>
      <c r="V186" s="27"/>
      <c r="W186" s="27"/>
    </row>
    <row r="187" spans="1:23" ht="15" customHeight="1" x14ac:dyDescent="0.2">
      <c r="A187" s="37"/>
      <c r="B187" s="37"/>
      <c r="C187" s="37"/>
      <c r="D187" s="37"/>
      <c r="E187" s="37"/>
      <c r="F187" s="37"/>
      <c r="G187" s="37"/>
      <c r="H187" s="37"/>
      <c r="I187" s="37"/>
      <c r="J187" s="37"/>
      <c r="K187" s="37"/>
      <c r="L187" s="37"/>
      <c r="M187" s="37"/>
      <c r="N187" s="37"/>
      <c r="O187" s="37"/>
      <c r="P187" s="37"/>
      <c r="Q187" s="27"/>
      <c r="R187" s="27"/>
      <c r="S187" s="27"/>
      <c r="T187" s="27"/>
      <c r="U187" s="27"/>
      <c r="V187" s="27"/>
      <c r="W187" s="27"/>
    </row>
    <row r="188" spans="1:23" ht="15" customHeight="1" x14ac:dyDescent="0.2">
      <c r="A188" s="37"/>
      <c r="B188" s="37"/>
      <c r="C188" s="37"/>
      <c r="D188" s="37"/>
      <c r="E188" s="37"/>
      <c r="F188" s="37"/>
      <c r="G188" s="37"/>
      <c r="H188" s="37"/>
      <c r="I188" s="37"/>
      <c r="J188" s="37"/>
      <c r="K188" s="37"/>
      <c r="L188" s="37"/>
      <c r="M188" s="37"/>
      <c r="N188" s="37"/>
      <c r="O188" s="37"/>
      <c r="P188" s="37"/>
      <c r="Q188" s="27"/>
      <c r="R188" s="27"/>
      <c r="S188" s="27"/>
      <c r="T188" s="27"/>
      <c r="U188" s="27"/>
      <c r="V188" s="27"/>
      <c r="W188" s="27"/>
    </row>
    <row r="189" spans="1:23" ht="15" customHeight="1" x14ac:dyDescent="0.2">
      <c r="A189" s="37"/>
      <c r="B189" s="37"/>
      <c r="C189" s="37"/>
      <c r="D189" s="37"/>
      <c r="E189" s="37"/>
      <c r="F189" s="37"/>
      <c r="G189" s="37"/>
      <c r="H189" s="37"/>
      <c r="I189" s="37"/>
      <c r="J189" s="37"/>
      <c r="K189" s="37"/>
      <c r="L189" s="37"/>
      <c r="M189" s="37"/>
      <c r="N189" s="37"/>
      <c r="O189" s="37"/>
      <c r="P189" s="37"/>
      <c r="Q189" s="27"/>
      <c r="R189" s="27"/>
      <c r="S189" s="27"/>
      <c r="T189" s="27"/>
      <c r="U189" s="27"/>
      <c r="V189" s="27"/>
      <c r="W189" s="27"/>
    </row>
    <row r="190" spans="1:23" ht="15" customHeight="1" x14ac:dyDescent="0.2">
      <c r="A190" s="37"/>
      <c r="B190" s="37"/>
      <c r="C190" s="37"/>
      <c r="D190" s="37"/>
      <c r="E190" s="37"/>
      <c r="F190" s="37"/>
      <c r="G190" s="37"/>
      <c r="H190" s="37"/>
      <c r="I190" s="37"/>
      <c r="J190" s="37"/>
      <c r="K190" s="37"/>
      <c r="L190" s="37"/>
      <c r="M190" s="37"/>
      <c r="N190" s="37"/>
      <c r="O190" s="37"/>
      <c r="P190" s="37"/>
      <c r="Q190" s="27"/>
      <c r="R190" s="27"/>
      <c r="S190" s="27"/>
      <c r="T190" s="27"/>
      <c r="U190" s="27"/>
      <c r="V190" s="27"/>
      <c r="W190" s="27"/>
    </row>
    <row r="191" spans="1:23" ht="15" customHeight="1" x14ac:dyDescent="0.2">
      <c r="A191" s="37"/>
      <c r="B191" s="37"/>
      <c r="C191" s="37"/>
      <c r="D191" s="37"/>
      <c r="E191" s="37"/>
      <c r="F191" s="37"/>
      <c r="G191" s="37"/>
      <c r="H191" s="37"/>
      <c r="I191" s="37"/>
      <c r="J191" s="37"/>
      <c r="K191" s="37"/>
      <c r="L191" s="37"/>
      <c r="M191" s="37"/>
      <c r="N191" s="37"/>
      <c r="O191" s="37"/>
      <c r="P191" s="37"/>
      <c r="Q191" s="27"/>
      <c r="R191" s="27"/>
      <c r="S191" s="27"/>
      <c r="T191" s="27"/>
      <c r="U191" s="27"/>
      <c r="V191" s="27"/>
      <c r="W191" s="27"/>
    </row>
    <row r="192" spans="1:23" ht="15" customHeight="1" x14ac:dyDescent="0.2">
      <c r="A192" s="37"/>
      <c r="B192" s="37"/>
      <c r="C192" s="37"/>
      <c r="D192" s="37"/>
      <c r="E192" s="37"/>
      <c r="F192" s="37"/>
      <c r="G192" s="37"/>
      <c r="H192" s="37"/>
      <c r="I192" s="37"/>
      <c r="J192" s="37"/>
      <c r="K192" s="37"/>
      <c r="L192" s="37"/>
      <c r="M192" s="37"/>
      <c r="N192" s="37"/>
      <c r="O192" s="37"/>
      <c r="P192" s="37"/>
      <c r="Q192" s="27"/>
      <c r="R192" s="27"/>
      <c r="S192" s="27"/>
      <c r="T192" s="27"/>
      <c r="U192" s="27"/>
      <c r="V192" s="27"/>
      <c r="W192" s="27"/>
    </row>
    <row r="193" spans="1:23" ht="15" customHeight="1" x14ac:dyDescent="0.2">
      <c r="A193" s="37"/>
      <c r="B193" s="37"/>
      <c r="C193" s="37"/>
      <c r="D193" s="37"/>
      <c r="E193" s="37"/>
      <c r="F193" s="37"/>
      <c r="G193" s="37"/>
      <c r="H193" s="37"/>
      <c r="I193" s="37"/>
      <c r="J193" s="37"/>
      <c r="K193" s="37"/>
      <c r="L193" s="37"/>
      <c r="M193" s="37"/>
      <c r="N193" s="37"/>
      <c r="O193" s="37"/>
      <c r="P193" s="37"/>
      <c r="Q193" s="27"/>
      <c r="R193" s="27"/>
      <c r="S193" s="27"/>
      <c r="T193" s="27"/>
      <c r="U193" s="27"/>
      <c r="V193" s="27"/>
      <c r="W193" s="27"/>
    </row>
    <row r="194" spans="1:23" ht="15" customHeight="1" x14ac:dyDescent="0.2">
      <c r="A194" s="37"/>
      <c r="B194" s="37"/>
      <c r="C194" s="37"/>
      <c r="D194" s="37"/>
      <c r="E194" s="37"/>
      <c r="F194" s="37"/>
      <c r="G194" s="37"/>
      <c r="H194" s="37"/>
      <c r="I194" s="37"/>
      <c r="J194" s="37"/>
      <c r="K194" s="37"/>
      <c r="L194" s="37"/>
      <c r="M194" s="37"/>
      <c r="N194" s="37"/>
      <c r="O194" s="37"/>
      <c r="P194" s="37"/>
      <c r="Q194" s="27"/>
      <c r="R194" s="27"/>
      <c r="S194" s="27"/>
      <c r="T194" s="27"/>
      <c r="U194" s="27"/>
      <c r="V194" s="27"/>
      <c r="W194" s="27"/>
    </row>
    <row r="195" spans="1:23" ht="15" customHeight="1" x14ac:dyDescent="0.2">
      <c r="A195" s="37"/>
      <c r="B195" s="37"/>
      <c r="C195" s="37"/>
      <c r="D195" s="37"/>
      <c r="E195" s="37"/>
      <c r="F195" s="37"/>
      <c r="G195" s="37"/>
      <c r="H195" s="37"/>
      <c r="I195" s="37"/>
      <c r="J195" s="37"/>
      <c r="K195" s="37"/>
      <c r="L195" s="37"/>
      <c r="M195" s="37"/>
      <c r="N195" s="37"/>
      <c r="O195" s="37"/>
      <c r="P195" s="37"/>
      <c r="Q195" s="27"/>
      <c r="R195" s="27"/>
      <c r="S195" s="27"/>
      <c r="T195" s="27"/>
      <c r="U195" s="27"/>
      <c r="V195" s="27"/>
      <c r="W195" s="27"/>
    </row>
    <row r="196" spans="1:23" ht="15" customHeight="1" x14ac:dyDescent="0.2">
      <c r="A196" s="37"/>
      <c r="B196" s="37"/>
      <c r="C196" s="37"/>
      <c r="D196" s="37"/>
      <c r="E196" s="37"/>
      <c r="F196" s="37"/>
      <c r="G196" s="37"/>
      <c r="H196" s="37"/>
      <c r="I196" s="37"/>
      <c r="J196" s="37"/>
      <c r="K196" s="37"/>
      <c r="L196" s="37"/>
      <c r="M196" s="37"/>
      <c r="N196" s="37"/>
      <c r="O196" s="37"/>
      <c r="P196" s="37"/>
      <c r="Q196" s="27"/>
      <c r="R196" s="27"/>
      <c r="S196" s="27"/>
      <c r="T196" s="27"/>
      <c r="U196" s="27"/>
      <c r="V196" s="27"/>
      <c r="W196" s="27"/>
    </row>
    <row r="197" spans="1:23" ht="15" customHeight="1" x14ac:dyDescent="0.2">
      <c r="A197" s="37"/>
      <c r="B197" s="37"/>
      <c r="C197" s="37"/>
      <c r="D197" s="37"/>
      <c r="E197" s="37"/>
      <c r="F197" s="37"/>
      <c r="G197" s="37"/>
      <c r="H197" s="37"/>
      <c r="I197" s="37"/>
      <c r="J197" s="37"/>
      <c r="K197" s="37"/>
      <c r="L197" s="37"/>
      <c r="M197" s="37"/>
      <c r="N197" s="37"/>
      <c r="O197" s="37"/>
      <c r="P197" s="37"/>
      <c r="Q197" s="27"/>
      <c r="R197" s="27"/>
      <c r="S197" s="27"/>
      <c r="T197" s="27"/>
      <c r="U197" s="27"/>
      <c r="V197" s="27"/>
      <c r="W197" s="27"/>
    </row>
    <row r="198" spans="1:23" ht="15" customHeight="1" x14ac:dyDescent="0.2">
      <c r="A198" s="37"/>
      <c r="B198" s="37"/>
      <c r="C198" s="37"/>
      <c r="D198" s="37"/>
      <c r="E198" s="37"/>
      <c r="F198" s="37"/>
      <c r="G198" s="37"/>
      <c r="H198" s="37"/>
      <c r="I198" s="37"/>
      <c r="J198" s="37"/>
      <c r="K198" s="37"/>
      <c r="L198" s="37"/>
      <c r="M198" s="37"/>
      <c r="N198" s="37"/>
      <c r="O198" s="37"/>
      <c r="P198" s="37"/>
      <c r="Q198" s="27"/>
      <c r="R198" s="27"/>
      <c r="S198" s="27"/>
      <c r="T198" s="27"/>
      <c r="U198" s="27"/>
      <c r="V198" s="27"/>
      <c r="W198" s="27"/>
    </row>
    <row r="199" spans="1:23" ht="15" customHeight="1" x14ac:dyDescent="0.2">
      <c r="A199" s="37"/>
      <c r="B199" s="37"/>
      <c r="C199" s="37"/>
      <c r="D199" s="37"/>
      <c r="E199" s="37"/>
      <c r="F199" s="37"/>
      <c r="G199" s="37"/>
      <c r="H199" s="37"/>
      <c r="I199" s="37"/>
      <c r="J199" s="37"/>
      <c r="K199" s="37"/>
      <c r="L199" s="37"/>
      <c r="M199" s="37"/>
      <c r="N199" s="37"/>
      <c r="O199" s="37"/>
      <c r="P199" s="37"/>
      <c r="Q199" s="27"/>
      <c r="R199" s="27"/>
      <c r="S199" s="27"/>
      <c r="T199" s="27"/>
      <c r="U199" s="27"/>
      <c r="V199" s="27"/>
      <c r="W199" s="27"/>
    </row>
    <row r="200" spans="1:23" ht="15" customHeight="1" x14ac:dyDescent="0.2">
      <c r="A200" s="37"/>
      <c r="B200" s="37"/>
      <c r="C200" s="37"/>
      <c r="D200" s="37"/>
      <c r="E200" s="37"/>
      <c r="F200" s="37"/>
      <c r="G200" s="37"/>
      <c r="H200" s="37"/>
      <c r="I200" s="37"/>
      <c r="J200" s="37"/>
      <c r="K200" s="37"/>
      <c r="L200" s="37"/>
      <c r="M200" s="37"/>
      <c r="N200" s="37"/>
      <c r="O200" s="37"/>
      <c r="P200" s="37"/>
      <c r="Q200" s="27"/>
      <c r="R200" s="27"/>
      <c r="S200" s="27"/>
      <c r="T200" s="27"/>
      <c r="U200" s="27"/>
      <c r="V200" s="27"/>
      <c r="W200" s="27"/>
    </row>
    <row r="201" spans="1:23" ht="15" customHeight="1" x14ac:dyDescent="0.2">
      <c r="A201" s="37"/>
      <c r="B201" s="37"/>
      <c r="C201" s="37"/>
      <c r="D201" s="37"/>
      <c r="E201" s="37"/>
      <c r="F201" s="37"/>
      <c r="G201" s="37"/>
      <c r="H201" s="37"/>
      <c r="I201" s="37"/>
      <c r="J201" s="37"/>
      <c r="K201" s="37"/>
      <c r="L201" s="37"/>
      <c r="M201" s="37"/>
      <c r="N201" s="37"/>
      <c r="O201" s="37"/>
      <c r="P201" s="37"/>
      <c r="Q201" s="27"/>
      <c r="R201" s="27"/>
      <c r="S201" s="27"/>
      <c r="T201" s="27"/>
      <c r="U201" s="27"/>
      <c r="V201" s="27"/>
      <c r="W201" s="27"/>
    </row>
    <row r="202" spans="1:23" ht="15" customHeight="1" x14ac:dyDescent="0.2">
      <c r="A202" s="37"/>
      <c r="B202" s="37"/>
      <c r="C202" s="37"/>
      <c r="D202" s="37"/>
      <c r="E202" s="37"/>
      <c r="F202" s="37"/>
      <c r="G202" s="37"/>
      <c r="H202" s="37"/>
      <c r="I202" s="37"/>
      <c r="J202" s="37"/>
      <c r="K202" s="37"/>
      <c r="L202" s="37"/>
      <c r="M202" s="37"/>
      <c r="N202" s="37"/>
      <c r="O202" s="37"/>
      <c r="P202" s="37"/>
      <c r="Q202" s="27"/>
      <c r="R202" s="27"/>
      <c r="S202" s="27"/>
      <c r="T202" s="27"/>
      <c r="U202" s="27"/>
      <c r="V202" s="27"/>
      <c r="W202" s="27"/>
    </row>
    <row r="203" spans="1:23" ht="15" customHeight="1" x14ac:dyDescent="0.2">
      <c r="A203" s="37"/>
      <c r="B203" s="37"/>
      <c r="C203" s="37"/>
      <c r="D203" s="37"/>
      <c r="E203" s="37"/>
      <c r="F203" s="37"/>
      <c r="G203" s="37"/>
      <c r="H203" s="37"/>
      <c r="I203" s="37"/>
      <c r="J203" s="37"/>
      <c r="K203" s="37"/>
      <c r="L203" s="37"/>
      <c r="M203" s="37"/>
      <c r="N203" s="37"/>
      <c r="O203" s="37"/>
      <c r="P203" s="37"/>
      <c r="Q203" s="27"/>
      <c r="R203" s="27"/>
      <c r="S203" s="27"/>
      <c r="T203" s="27"/>
      <c r="U203" s="27"/>
      <c r="V203" s="27"/>
      <c r="W203" s="27"/>
    </row>
    <row r="204" spans="1:23" ht="15" customHeight="1" x14ac:dyDescent="0.2">
      <c r="A204" s="37"/>
      <c r="B204" s="37"/>
      <c r="C204" s="37"/>
      <c r="D204" s="37"/>
      <c r="E204" s="37"/>
      <c r="F204" s="37"/>
      <c r="G204" s="37"/>
      <c r="H204" s="37"/>
      <c r="I204" s="37"/>
      <c r="J204" s="37"/>
      <c r="K204" s="37"/>
      <c r="L204" s="37"/>
      <c r="M204" s="37"/>
      <c r="N204" s="37"/>
      <c r="O204" s="37"/>
      <c r="P204" s="37"/>
      <c r="Q204" s="27"/>
      <c r="R204" s="27"/>
      <c r="S204" s="27"/>
      <c r="T204" s="27"/>
      <c r="U204" s="27"/>
      <c r="V204" s="27"/>
      <c r="W204" s="27"/>
    </row>
    <row r="205" spans="1:23" ht="15" customHeight="1" x14ac:dyDescent="0.2">
      <c r="A205" s="37"/>
      <c r="B205" s="37"/>
      <c r="C205" s="37"/>
      <c r="D205" s="37"/>
      <c r="E205" s="37"/>
      <c r="F205" s="37"/>
      <c r="G205" s="37"/>
      <c r="H205" s="37"/>
      <c r="I205" s="37"/>
      <c r="J205" s="37"/>
      <c r="K205" s="37"/>
      <c r="L205" s="37"/>
      <c r="M205" s="37"/>
      <c r="N205" s="37"/>
      <c r="O205" s="37"/>
      <c r="P205" s="37"/>
      <c r="Q205" s="27"/>
      <c r="R205" s="27"/>
      <c r="S205" s="27"/>
      <c r="T205" s="27"/>
      <c r="U205" s="27"/>
      <c r="V205" s="27"/>
      <c r="W205" s="27"/>
    </row>
    <row r="206" spans="1:23" ht="15" customHeight="1" x14ac:dyDescent="0.2">
      <c r="A206" s="37"/>
      <c r="B206" s="37"/>
      <c r="C206" s="37"/>
      <c r="D206" s="37"/>
      <c r="E206" s="37"/>
      <c r="F206" s="37"/>
      <c r="G206" s="37"/>
      <c r="H206" s="37"/>
      <c r="I206" s="37"/>
      <c r="J206" s="37"/>
      <c r="K206" s="37"/>
      <c r="L206" s="37"/>
      <c r="M206" s="37"/>
      <c r="N206" s="37"/>
      <c r="O206" s="37"/>
      <c r="P206" s="37"/>
      <c r="Q206" s="27"/>
      <c r="R206" s="27"/>
      <c r="S206" s="27"/>
      <c r="T206" s="27"/>
      <c r="U206" s="27"/>
      <c r="V206" s="27"/>
      <c r="W206" s="27"/>
    </row>
    <row r="207" spans="1:23" ht="15" customHeight="1" x14ac:dyDescent="0.2">
      <c r="A207" s="37"/>
      <c r="B207" s="37"/>
      <c r="C207" s="37"/>
      <c r="D207" s="37"/>
      <c r="E207" s="37"/>
      <c r="F207" s="37"/>
      <c r="G207" s="37"/>
      <c r="H207" s="37"/>
      <c r="I207" s="37"/>
      <c r="J207" s="37"/>
      <c r="K207" s="37"/>
      <c r="L207" s="37"/>
      <c r="M207" s="37"/>
      <c r="N207" s="37"/>
      <c r="O207" s="37"/>
      <c r="P207" s="37"/>
      <c r="Q207" s="27"/>
      <c r="R207" s="27"/>
      <c r="S207" s="27"/>
      <c r="T207" s="27"/>
      <c r="U207" s="27"/>
      <c r="V207" s="27"/>
      <c r="W207" s="27"/>
    </row>
    <row r="208" spans="1:23" ht="15" customHeight="1" x14ac:dyDescent="0.2">
      <c r="A208" s="37"/>
      <c r="B208" s="37"/>
      <c r="C208" s="37"/>
      <c r="D208" s="37"/>
      <c r="E208" s="37"/>
      <c r="F208" s="37"/>
      <c r="G208" s="37"/>
      <c r="H208" s="37"/>
      <c r="I208" s="37"/>
      <c r="J208" s="37"/>
      <c r="K208" s="37"/>
      <c r="L208" s="37"/>
      <c r="M208" s="37"/>
      <c r="N208" s="37"/>
      <c r="O208" s="37"/>
      <c r="P208" s="37"/>
      <c r="Q208" s="27"/>
      <c r="R208" s="27"/>
      <c r="S208" s="27"/>
      <c r="T208" s="27"/>
      <c r="U208" s="27"/>
      <c r="V208" s="27"/>
      <c r="W208" s="27"/>
    </row>
    <row r="209" spans="1:23" ht="15" customHeight="1" x14ac:dyDescent="0.2">
      <c r="A209" s="37"/>
      <c r="B209" s="37"/>
      <c r="C209" s="37"/>
      <c r="D209" s="37"/>
      <c r="E209" s="37"/>
      <c r="F209" s="37"/>
      <c r="G209" s="37"/>
      <c r="H209" s="37"/>
      <c r="I209" s="37"/>
      <c r="J209" s="37"/>
      <c r="K209" s="37"/>
      <c r="L209" s="37"/>
      <c r="M209" s="37"/>
      <c r="N209" s="37"/>
      <c r="O209" s="37"/>
      <c r="P209" s="37"/>
      <c r="Q209" s="27"/>
      <c r="R209" s="27"/>
      <c r="S209" s="27"/>
      <c r="T209" s="27"/>
      <c r="U209" s="27"/>
      <c r="V209" s="27"/>
      <c r="W209" s="27"/>
    </row>
    <row r="210" spans="1:23" ht="15" customHeight="1" x14ac:dyDescent="0.2">
      <c r="A210" s="37"/>
      <c r="B210" s="37"/>
      <c r="C210" s="37"/>
      <c r="D210" s="37"/>
      <c r="E210" s="37"/>
      <c r="F210" s="37"/>
      <c r="G210" s="37"/>
      <c r="H210" s="37"/>
      <c r="I210" s="37"/>
      <c r="J210" s="37"/>
      <c r="K210" s="37"/>
      <c r="L210" s="37"/>
      <c r="M210" s="37"/>
      <c r="N210" s="37"/>
      <c r="O210" s="37"/>
      <c r="P210" s="37"/>
      <c r="Q210" s="27"/>
      <c r="R210" s="27"/>
      <c r="S210" s="27"/>
      <c r="T210" s="27"/>
      <c r="U210" s="27"/>
      <c r="V210" s="27"/>
      <c r="W210" s="27"/>
    </row>
    <row r="211" spans="1:23" ht="15" customHeight="1" x14ac:dyDescent="0.2">
      <c r="A211" s="37"/>
      <c r="B211" s="37"/>
      <c r="C211" s="37"/>
      <c r="D211" s="37"/>
      <c r="E211" s="37"/>
      <c r="F211" s="37"/>
      <c r="G211" s="37"/>
      <c r="H211" s="37"/>
      <c r="I211" s="37"/>
      <c r="J211" s="37"/>
      <c r="K211" s="37"/>
      <c r="L211" s="37"/>
      <c r="M211" s="37"/>
      <c r="N211" s="37"/>
      <c r="O211" s="37"/>
      <c r="P211" s="37"/>
      <c r="Q211" s="27"/>
      <c r="R211" s="27"/>
      <c r="S211" s="27"/>
      <c r="T211" s="27"/>
      <c r="U211" s="27"/>
      <c r="V211" s="27"/>
      <c r="W211" s="27"/>
    </row>
    <row r="212" spans="1:23" ht="15" customHeight="1" x14ac:dyDescent="0.2">
      <c r="A212" s="37"/>
      <c r="B212" s="37"/>
      <c r="C212" s="37"/>
      <c r="D212" s="37"/>
      <c r="E212" s="37"/>
      <c r="F212" s="37"/>
      <c r="G212" s="37"/>
      <c r="H212" s="37"/>
      <c r="I212" s="37"/>
      <c r="J212" s="37"/>
      <c r="K212" s="37"/>
      <c r="L212" s="37"/>
      <c r="M212" s="37"/>
      <c r="N212" s="37"/>
      <c r="O212" s="37"/>
      <c r="P212" s="37"/>
      <c r="Q212" s="27"/>
      <c r="R212" s="27"/>
      <c r="S212" s="27"/>
      <c r="T212" s="27"/>
      <c r="U212" s="27"/>
      <c r="V212" s="27"/>
      <c r="W212" s="27"/>
    </row>
    <row r="213" spans="1:23" ht="15" customHeight="1" x14ac:dyDescent="0.2">
      <c r="A213" s="37"/>
      <c r="B213" s="37"/>
      <c r="C213" s="37"/>
      <c r="D213" s="37"/>
      <c r="E213" s="37"/>
      <c r="F213" s="37"/>
      <c r="G213" s="37"/>
      <c r="H213" s="37"/>
      <c r="I213" s="37"/>
      <c r="J213" s="37"/>
      <c r="K213" s="37"/>
      <c r="L213" s="37"/>
      <c r="M213" s="37"/>
      <c r="N213" s="37"/>
      <c r="O213" s="37"/>
      <c r="P213" s="37"/>
      <c r="Q213" s="27"/>
      <c r="R213" s="27"/>
      <c r="S213" s="27"/>
      <c r="T213" s="27"/>
      <c r="U213" s="27"/>
      <c r="V213" s="27"/>
      <c r="W213" s="27"/>
    </row>
    <row r="214" spans="1:23" ht="15" customHeight="1" x14ac:dyDescent="0.2">
      <c r="A214" s="37"/>
      <c r="B214" s="37"/>
      <c r="C214" s="37"/>
      <c r="D214" s="37"/>
      <c r="E214" s="37"/>
      <c r="F214" s="37"/>
      <c r="G214" s="37"/>
      <c r="H214" s="37"/>
      <c r="I214" s="37"/>
      <c r="J214" s="37"/>
      <c r="K214" s="37"/>
      <c r="L214" s="37"/>
      <c r="M214" s="37"/>
      <c r="N214" s="37"/>
      <c r="O214" s="37"/>
      <c r="P214" s="37"/>
      <c r="Q214" s="27"/>
      <c r="R214" s="27"/>
      <c r="S214" s="27"/>
      <c r="T214" s="27"/>
      <c r="U214" s="27"/>
      <c r="V214" s="27"/>
      <c r="W214" s="27"/>
    </row>
    <row r="215" spans="1:23" ht="15" customHeight="1" x14ac:dyDescent="0.2">
      <c r="A215" s="37"/>
      <c r="B215" s="37"/>
      <c r="C215" s="37"/>
      <c r="D215" s="37"/>
      <c r="E215" s="37"/>
      <c r="F215" s="37"/>
      <c r="G215" s="37"/>
      <c r="H215" s="37"/>
      <c r="I215" s="37"/>
      <c r="J215" s="37"/>
      <c r="K215" s="37"/>
      <c r="L215" s="37"/>
      <c r="M215" s="37"/>
      <c r="N215" s="37"/>
      <c r="O215" s="37"/>
      <c r="P215" s="37"/>
      <c r="Q215" s="27"/>
      <c r="R215" s="27"/>
      <c r="S215" s="27"/>
      <c r="T215" s="27"/>
      <c r="U215" s="27"/>
      <c r="V215" s="27"/>
      <c r="W215" s="27"/>
    </row>
    <row r="216" spans="1:23" ht="15" customHeight="1" x14ac:dyDescent="0.2">
      <c r="A216" s="37"/>
      <c r="B216" s="37"/>
      <c r="C216" s="37"/>
      <c r="D216" s="37"/>
      <c r="E216" s="37"/>
      <c r="F216" s="37"/>
      <c r="G216" s="37"/>
      <c r="H216" s="37"/>
      <c r="I216" s="37"/>
      <c r="J216" s="37"/>
      <c r="K216" s="37"/>
      <c r="L216" s="37"/>
      <c r="M216" s="37"/>
      <c r="N216" s="37"/>
      <c r="O216" s="37"/>
      <c r="P216" s="37"/>
      <c r="Q216" s="27"/>
      <c r="R216" s="27"/>
      <c r="S216" s="27"/>
      <c r="T216" s="27"/>
      <c r="U216" s="27"/>
      <c r="V216" s="27"/>
      <c r="W216" s="27"/>
    </row>
    <row r="217" spans="1:23" ht="15" customHeight="1" x14ac:dyDescent="0.2">
      <c r="A217" s="37"/>
      <c r="B217" s="37"/>
      <c r="C217" s="37"/>
      <c r="D217" s="37"/>
      <c r="E217" s="37"/>
      <c r="F217" s="37"/>
      <c r="G217" s="37"/>
      <c r="H217" s="37"/>
      <c r="I217" s="37"/>
      <c r="J217" s="37"/>
      <c r="K217" s="37"/>
      <c r="L217" s="37"/>
      <c r="M217" s="37"/>
      <c r="N217" s="37"/>
      <c r="O217" s="37"/>
      <c r="P217" s="37"/>
      <c r="Q217" s="27"/>
      <c r="R217" s="27"/>
      <c r="S217" s="27"/>
      <c r="T217" s="27"/>
      <c r="U217" s="27"/>
      <c r="V217" s="27"/>
      <c r="W217" s="27"/>
    </row>
    <row r="218" spans="1:23" ht="15" customHeight="1" x14ac:dyDescent="0.2">
      <c r="A218" s="37"/>
      <c r="B218" s="37"/>
      <c r="C218" s="37"/>
      <c r="D218" s="37"/>
      <c r="E218" s="37"/>
      <c r="F218" s="37"/>
      <c r="G218" s="37"/>
      <c r="H218" s="37"/>
      <c r="I218" s="37"/>
      <c r="J218" s="37"/>
      <c r="K218" s="37"/>
      <c r="L218" s="37"/>
      <c r="M218" s="37"/>
      <c r="N218" s="37"/>
      <c r="O218" s="37"/>
      <c r="P218" s="37"/>
      <c r="Q218" s="27"/>
      <c r="R218" s="27"/>
      <c r="S218" s="27"/>
      <c r="T218" s="27"/>
      <c r="U218" s="27"/>
      <c r="V218" s="27"/>
      <c r="W218" s="27"/>
    </row>
    <row r="219" spans="1:23" ht="15" customHeight="1" x14ac:dyDescent="0.2">
      <c r="A219" s="37"/>
      <c r="B219" s="37"/>
      <c r="C219" s="37"/>
      <c r="D219" s="37"/>
      <c r="E219" s="37"/>
      <c r="F219" s="37"/>
      <c r="G219" s="37"/>
      <c r="H219" s="37"/>
      <c r="I219" s="37"/>
      <c r="J219" s="37"/>
      <c r="K219" s="37"/>
      <c r="L219" s="37"/>
      <c r="M219" s="37"/>
      <c r="N219" s="37"/>
      <c r="O219" s="37"/>
      <c r="P219" s="37"/>
      <c r="Q219" s="27"/>
      <c r="R219" s="27"/>
      <c r="S219" s="27"/>
      <c r="T219" s="27"/>
      <c r="U219" s="27"/>
      <c r="V219" s="27"/>
      <c r="W219" s="27"/>
    </row>
    <row r="220" spans="1:23" ht="15" customHeight="1" x14ac:dyDescent="0.2">
      <c r="A220" s="37"/>
      <c r="B220" s="37"/>
      <c r="C220" s="37"/>
      <c r="D220" s="37"/>
      <c r="E220" s="37"/>
      <c r="F220" s="37"/>
      <c r="G220" s="37"/>
      <c r="H220" s="37"/>
      <c r="I220" s="37"/>
      <c r="J220" s="37"/>
      <c r="K220" s="37"/>
      <c r="L220" s="37"/>
      <c r="M220" s="37"/>
      <c r="N220" s="37"/>
      <c r="O220" s="37"/>
      <c r="P220" s="37"/>
      <c r="Q220" s="27"/>
      <c r="R220" s="27"/>
      <c r="S220" s="27"/>
      <c r="T220" s="27"/>
      <c r="U220" s="27"/>
      <c r="V220" s="27"/>
      <c r="W220" s="27"/>
    </row>
    <row r="221" spans="1:23" ht="15" customHeight="1" x14ac:dyDescent="0.2">
      <c r="A221" s="37"/>
      <c r="B221" s="37"/>
      <c r="C221" s="37"/>
      <c r="D221" s="37"/>
      <c r="E221" s="37"/>
      <c r="F221" s="37"/>
      <c r="G221" s="37"/>
      <c r="H221" s="37"/>
      <c r="I221" s="37"/>
      <c r="J221" s="37"/>
      <c r="K221" s="37"/>
      <c r="L221" s="37"/>
      <c r="M221" s="37"/>
      <c r="N221" s="37"/>
      <c r="O221" s="37"/>
      <c r="P221" s="37"/>
      <c r="Q221" s="27"/>
      <c r="R221" s="27"/>
      <c r="S221" s="27"/>
      <c r="T221" s="27"/>
      <c r="U221" s="27"/>
      <c r="V221" s="27"/>
      <c r="W221" s="27"/>
    </row>
    <row r="222" spans="1:23" ht="15" customHeight="1" x14ac:dyDescent="0.2">
      <c r="A222" s="37"/>
      <c r="B222" s="37"/>
      <c r="C222" s="37"/>
      <c r="D222" s="37"/>
      <c r="E222" s="37"/>
      <c r="F222" s="37"/>
      <c r="G222" s="37"/>
      <c r="H222" s="37"/>
      <c r="I222" s="37"/>
      <c r="J222" s="37"/>
      <c r="K222" s="37"/>
      <c r="L222" s="37"/>
      <c r="M222" s="37"/>
      <c r="N222" s="37"/>
      <c r="O222" s="37"/>
      <c r="P222" s="37"/>
      <c r="Q222" s="27"/>
      <c r="R222" s="27"/>
      <c r="S222" s="27"/>
      <c r="T222" s="27"/>
      <c r="U222" s="27"/>
      <c r="V222" s="27"/>
      <c r="W222" s="27"/>
    </row>
    <row r="223" spans="1:23" ht="15" customHeight="1" x14ac:dyDescent="0.2">
      <c r="A223" s="37"/>
      <c r="B223" s="37"/>
      <c r="C223" s="37"/>
      <c r="D223" s="37"/>
      <c r="E223" s="37"/>
      <c r="F223" s="37"/>
      <c r="G223" s="37"/>
      <c r="H223" s="37"/>
      <c r="I223" s="37"/>
      <c r="J223" s="37"/>
      <c r="K223" s="37"/>
      <c r="L223" s="37"/>
      <c r="M223" s="37"/>
      <c r="N223" s="37"/>
      <c r="O223" s="37"/>
      <c r="P223" s="37"/>
      <c r="Q223" s="27"/>
      <c r="R223" s="27"/>
      <c r="S223" s="27"/>
      <c r="T223" s="27"/>
      <c r="U223" s="27"/>
      <c r="V223" s="27"/>
      <c r="W223" s="27"/>
    </row>
    <row r="224" spans="1:23" ht="15" customHeight="1" x14ac:dyDescent="0.2">
      <c r="A224" s="37"/>
      <c r="B224" s="37"/>
      <c r="C224" s="37"/>
      <c r="D224" s="37"/>
      <c r="E224" s="37"/>
      <c r="F224" s="37"/>
      <c r="G224" s="37"/>
      <c r="H224" s="37"/>
      <c r="I224" s="37"/>
      <c r="J224" s="37"/>
      <c r="K224" s="37"/>
      <c r="L224" s="37"/>
      <c r="M224" s="37"/>
      <c r="N224" s="37"/>
      <c r="O224" s="37"/>
      <c r="P224" s="37"/>
      <c r="Q224" s="27"/>
      <c r="R224" s="27"/>
      <c r="S224" s="27"/>
      <c r="T224" s="27"/>
      <c r="U224" s="27"/>
      <c r="V224" s="27"/>
      <c r="W224" s="27"/>
    </row>
    <row r="225" spans="1:23" ht="15" customHeight="1" x14ac:dyDescent="0.2">
      <c r="A225" s="37"/>
      <c r="B225" s="37"/>
      <c r="C225" s="37"/>
      <c r="D225" s="37"/>
      <c r="E225" s="37"/>
      <c r="F225" s="37"/>
      <c r="G225" s="37"/>
      <c r="H225" s="37"/>
      <c r="I225" s="37"/>
      <c r="J225" s="37"/>
      <c r="K225" s="37"/>
      <c r="L225" s="37"/>
      <c r="M225" s="37"/>
      <c r="N225" s="37"/>
      <c r="O225" s="37"/>
      <c r="P225" s="37"/>
      <c r="Q225" s="27"/>
      <c r="R225" s="27"/>
      <c r="S225" s="27"/>
      <c r="T225" s="27"/>
      <c r="U225" s="27"/>
      <c r="V225" s="27"/>
      <c r="W225" s="27"/>
    </row>
    <row r="226" spans="1:23" ht="15" customHeight="1" x14ac:dyDescent="0.2">
      <c r="A226" s="37"/>
      <c r="B226" s="37"/>
      <c r="C226" s="37"/>
      <c r="D226" s="37"/>
      <c r="E226" s="37"/>
      <c r="F226" s="37"/>
      <c r="G226" s="37"/>
      <c r="H226" s="37"/>
      <c r="I226" s="37"/>
      <c r="J226" s="37"/>
      <c r="K226" s="37"/>
      <c r="L226" s="37"/>
      <c r="M226" s="37"/>
      <c r="N226" s="37"/>
      <c r="O226" s="37"/>
      <c r="P226" s="37"/>
      <c r="Q226" s="27"/>
      <c r="R226" s="27"/>
      <c r="S226" s="27"/>
      <c r="T226" s="27"/>
      <c r="U226" s="27"/>
      <c r="V226" s="27"/>
      <c r="W226" s="27"/>
    </row>
    <row r="227" spans="1:23" ht="15" customHeight="1" x14ac:dyDescent="0.2">
      <c r="A227" s="37"/>
      <c r="B227" s="37"/>
      <c r="C227" s="37"/>
      <c r="D227" s="37"/>
      <c r="E227" s="37"/>
      <c r="F227" s="37"/>
      <c r="G227" s="37"/>
      <c r="H227" s="37"/>
      <c r="I227" s="37"/>
      <c r="J227" s="37"/>
      <c r="K227" s="37"/>
      <c r="L227" s="37"/>
      <c r="M227" s="37"/>
      <c r="N227" s="37"/>
      <c r="O227" s="37"/>
      <c r="P227" s="37"/>
      <c r="Q227" s="27"/>
      <c r="R227" s="27"/>
      <c r="S227" s="27"/>
      <c r="T227" s="27"/>
      <c r="U227" s="27"/>
      <c r="V227" s="27"/>
      <c r="W227" s="27"/>
    </row>
    <row r="228" spans="1:23" ht="15" customHeight="1" x14ac:dyDescent="0.2">
      <c r="A228" s="37"/>
      <c r="B228" s="37"/>
      <c r="C228" s="37"/>
      <c r="D228" s="37"/>
      <c r="E228" s="37"/>
      <c r="F228" s="37"/>
      <c r="G228" s="37"/>
      <c r="H228" s="37"/>
      <c r="I228" s="37"/>
      <c r="J228" s="37"/>
      <c r="K228" s="37"/>
      <c r="L228" s="37"/>
      <c r="M228" s="37"/>
      <c r="N228" s="37"/>
      <c r="O228" s="37"/>
      <c r="P228" s="37"/>
      <c r="Q228" s="27"/>
      <c r="R228" s="27"/>
      <c r="S228" s="27"/>
      <c r="T228" s="27"/>
      <c r="U228" s="27"/>
      <c r="V228" s="27"/>
      <c r="W228" s="27"/>
    </row>
    <row r="229" spans="1:23" ht="15" customHeight="1" x14ac:dyDescent="0.2">
      <c r="A229" s="37"/>
      <c r="B229" s="37"/>
      <c r="C229" s="37"/>
      <c r="D229" s="37"/>
      <c r="E229" s="37"/>
      <c r="F229" s="37"/>
      <c r="G229" s="37"/>
      <c r="H229" s="37"/>
      <c r="I229" s="37"/>
      <c r="J229" s="37"/>
      <c r="K229" s="37"/>
      <c r="L229" s="37"/>
      <c r="M229" s="37"/>
      <c r="N229" s="37"/>
      <c r="O229" s="37"/>
      <c r="P229" s="37"/>
      <c r="Q229" s="27"/>
      <c r="R229" s="27"/>
      <c r="S229" s="27"/>
      <c r="T229" s="27"/>
      <c r="U229" s="27"/>
      <c r="V229" s="27"/>
      <c r="W229" s="27"/>
    </row>
    <row r="230" spans="1:23" ht="15" customHeight="1" x14ac:dyDescent="0.2">
      <c r="A230" s="37"/>
      <c r="B230" s="37"/>
      <c r="C230" s="37"/>
      <c r="D230" s="37"/>
      <c r="E230" s="37"/>
      <c r="F230" s="37"/>
      <c r="G230" s="37"/>
      <c r="H230" s="37"/>
      <c r="I230" s="37"/>
      <c r="J230" s="37"/>
      <c r="K230" s="37"/>
      <c r="L230" s="37"/>
      <c r="M230" s="37"/>
      <c r="N230" s="37"/>
      <c r="O230" s="37"/>
      <c r="P230" s="37"/>
      <c r="Q230" s="27"/>
      <c r="R230" s="27"/>
      <c r="S230" s="27"/>
      <c r="T230" s="27"/>
      <c r="U230" s="27"/>
      <c r="V230" s="27"/>
      <c r="W230" s="27"/>
    </row>
    <row r="231" spans="1:23" ht="15" customHeight="1" x14ac:dyDescent="0.2">
      <c r="A231" s="37"/>
      <c r="B231" s="37"/>
      <c r="C231" s="37"/>
      <c r="D231" s="37"/>
      <c r="E231" s="37"/>
      <c r="F231" s="37"/>
      <c r="G231" s="37"/>
      <c r="H231" s="37"/>
      <c r="I231" s="37"/>
      <c r="J231" s="37"/>
      <c r="K231" s="37"/>
      <c r="L231" s="37"/>
      <c r="M231" s="37"/>
      <c r="N231" s="37"/>
      <c r="O231" s="37"/>
      <c r="P231" s="37"/>
      <c r="Q231" s="27"/>
      <c r="R231" s="27"/>
      <c r="S231" s="27"/>
      <c r="T231" s="27"/>
      <c r="U231" s="27"/>
      <c r="V231" s="27"/>
      <c r="W231" s="27"/>
    </row>
    <row r="232" spans="1:23" ht="15" customHeight="1" x14ac:dyDescent="0.2">
      <c r="A232" s="37"/>
      <c r="B232" s="37"/>
      <c r="C232" s="37"/>
      <c r="D232" s="37"/>
      <c r="E232" s="37"/>
      <c r="F232" s="37"/>
      <c r="G232" s="37"/>
      <c r="H232" s="37"/>
      <c r="I232" s="37"/>
      <c r="J232" s="37"/>
      <c r="K232" s="37"/>
      <c r="L232" s="37"/>
      <c r="M232" s="37"/>
      <c r="N232" s="37"/>
      <c r="O232" s="37"/>
      <c r="P232" s="37"/>
      <c r="Q232" s="27"/>
      <c r="R232" s="27"/>
      <c r="S232" s="27"/>
      <c r="T232" s="27"/>
      <c r="U232" s="27"/>
      <c r="V232" s="27"/>
      <c r="W232" s="27"/>
    </row>
    <row r="233" spans="1:23" ht="15" customHeight="1" x14ac:dyDescent="0.2">
      <c r="A233" s="37"/>
      <c r="B233" s="37"/>
      <c r="C233" s="37"/>
      <c r="D233" s="37"/>
      <c r="E233" s="37"/>
      <c r="F233" s="37"/>
      <c r="G233" s="37"/>
      <c r="H233" s="37"/>
      <c r="I233" s="37"/>
      <c r="J233" s="37"/>
      <c r="K233" s="37"/>
      <c r="L233" s="37"/>
      <c r="M233" s="37"/>
      <c r="N233" s="37"/>
      <c r="O233" s="37"/>
      <c r="P233" s="37"/>
      <c r="Q233" s="27"/>
      <c r="R233" s="27"/>
      <c r="S233" s="27"/>
      <c r="T233" s="27"/>
      <c r="U233" s="27"/>
      <c r="V233" s="27"/>
      <c r="W233" s="27"/>
    </row>
    <row r="234" spans="1:23" ht="15" customHeight="1" x14ac:dyDescent="0.2">
      <c r="A234" s="37"/>
      <c r="B234" s="37"/>
      <c r="C234" s="37"/>
      <c r="D234" s="37"/>
      <c r="E234" s="37"/>
      <c r="F234" s="37"/>
      <c r="G234" s="37"/>
      <c r="H234" s="37"/>
      <c r="I234" s="37"/>
      <c r="J234" s="37"/>
      <c r="K234" s="37"/>
      <c r="L234" s="37"/>
      <c r="M234" s="37"/>
      <c r="N234" s="37"/>
      <c r="O234" s="37"/>
      <c r="P234" s="37"/>
      <c r="Q234" s="27"/>
      <c r="R234" s="27"/>
      <c r="S234" s="27"/>
      <c r="T234" s="27"/>
      <c r="U234" s="27"/>
      <c r="V234" s="27"/>
      <c r="W234" s="27"/>
    </row>
    <row r="235" spans="1:23" ht="15" customHeight="1" x14ac:dyDescent="0.2">
      <c r="A235" s="37"/>
      <c r="B235" s="37"/>
      <c r="C235" s="37"/>
      <c r="D235" s="37"/>
      <c r="E235" s="37"/>
      <c r="F235" s="37"/>
      <c r="G235" s="37"/>
      <c r="H235" s="37"/>
      <c r="I235" s="37"/>
      <c r="J235" s="37"/>
      <c r="K235" s="37"/>
      <c r="L235" s="37"/>
      <c r="M235" s="37"/>
      <c r="N235" s="37"/>
      <c r="O235" s="37"/>
      <c r="P235" s="37"/>
      <c r="Q235" s="27"/>
      <c r="R235" s="27"/>
      <c r="S235" s="27"/>
      <c r="T235" s="27"/>
      <c r="U235" s="27"/>
      <c r="V235" s="27"/>
      <c r="W235" s="27"/>
    </row>
    <row r="236" spans="1:23" ht="15" customHeight="1" x14ac:dyDescent="0.2">
      <c r="A236" s="37"/>
      <c r="B236" s="37"/>
      <c r="C236" s="37"/>
      <c r="D236" s="37"/>
      <c r="E236" s="37"/>
      <c r="F236" s="37"/>
      <c r="G236" s="37"/>
      <c r="H236" s="37"/>
      <c r="I236" s="37"/>
      <c r="J236" s="37"/>
      <c r="K236" s="37"/>
      <c r="L236" s="37"/>
      <c r="M236" s="37"/>
      <c r="N236" s="37"/>
      <c r="O236" s="37"/>
      <c r="P236" s="37"/>
      <c r="Q236" s="27"/>
      <c r="R236" s="27"/>
      <c r="S236" s="27"/>
      <c r="T236" s="27"/>
      <c r="U236" s="27"/>
      <c r="V236" s="27"/>
      <c r="W236" s="27"/>
    </row>
    <row r="237" spans="1:23" ht="15" customHeight="1" x14ac:dyDescent="0.2">
      <c r="A237" s="37"/>
      <c r="B237" s="37"/>
      <c r="C237" s="37"/>
      <c r="D237" s="37"/>
      <c r="E237" s="37"/>
      <c r="F237" s="37"/>
      <c r="G237" s="37"/>
      <c r="H237" s="37"/>
      <c r="I237" s="37"/>
      <c r="J237" s="37"/>
      <c r="K237" s="37"/>
      <c r="L237" s="37"/>
      <c r="M237" s="37"/>
      <c r="N237" s="37"/>
      <c r="O237" s="37"/>
      <c r="P237" s="37"/>
      <c r="Q237" s="27"/>
      <c r="R237" s="27"/>
      <c r="S237" s="27"/>
      <c r="T237" s="27"/>
      <c r="U237" s="27"/>
      <c r="V237" s="27"/>
      <c r="W237" s="27"/>
    </row>
    <row r="238" spans="1:23" ht="15" customHeight="1" x14ac:dyDescent="0.2">
      <c r="A238" s="37"/>
      <c r="B238" s="37"/>
      <c r="C238" s="37"/>
      <c r="D238" s="37"/>
      <c r="E238" s="37"/>
      <c r="F238" s="37"/>
      <c r="G238" s="37"/>
      <c r="H238" s="37"/>
      <c r="I238" s="37"/>
      <c r="J238" s="37"/>
      <c r="K238" s="37"/>
      <c r="L238" s="37"/>
      <c r="M238" s="37"/>
      <c r="N238" s="37"/>
      <c r="O238" s="37"/>
      <c r="P238" s="37"/>
      <c r="Q238" s="27"/>
      <c r="R238" s="27"/>
      <c r="S238" s="27"/>
      <c r="T238" s="27"/>
      <c r="U238" s="27"/>
      <c r="V238" s="27"/>
      <c r="W238" s="27"/>
    </row>
    <row r="239" spans="1:23" ht="15" customHeight="1" x14ac:dyDescent="0.2">
      <c r="A239" s="37"/>
      <c r="B239" s="37"/>
      <c r="C239" s="37"/>
      <c r="D239" s="37"/>
      <c r="E239" s="37"/>
      <c r="F239" s="37"/>
      <c r="G239" s="37"/>
      <c r="H239" s="37"/>
      <c r="I239" s="37"/>
      <c r="J239" s="37"/>
      <c r="K239" s="37"/>
      <c r="L239" s="37"/>
      <c r="M239" s="37"/>
      <c r="N239" s="37"/>
      <c r="O239" s="37"/>
      <c r="P239" s="37"/>
      <c r="Q239" s="27"/>
      <c r="R239" s="27"/>
      <c r="S239" s="27"/>
      <c r="T239" s="27"/>
      <c r="U239" s="27"/>
      <c r="V239" s="27"/>
      <c r="W239" s="27"/>
    </row>
    <row r="240" spans="1:23" ht="15" customHeight="1" x14ac:dyDescent="0.2">
      <c r="A240" s="37"/>
      <c r="B240" s="37"/>
      <c r="C240" s="37"/>
      <c r="D240" s="37"/>
      <c r="E240" s="37"/>
      <c r="F240" s="37"/>
      <c r="G240" s="37"/>
      <c r="H240" s="37"/>
      <c r="I240" s="37"/>
      <c r="J240" s="37"/>
      <c r="K240" s="37"/>
      <c r="L240" s="37"/>
      <c r="M240" s="37"/>
      <c r="N240" s="37"/>
      <c r="O240" s="37"/>
      <c r="P240" s="37"/>
      <c r="Q240" s="27"/>
      <c r="R240" s="27"/>
      <c r="S240" s="27"/>
      <c r="T240" s="27"/>
      <c r="U240" s="27"/>
      <c r="V240" s="27"/>
      <c r="W240" s="27"/>
    </row>
    <row r="241" spans="1:23" ht="15" customHeight="1" x14ac:dyDescent="0.2">
      <c r="A241" s="37"/>
      <c r="B241" s="37"/>
      <c r="C241" s="37"/>
      <c r="D241" s="37"/>
      <c r="E241" s="37"/>
      <c r="F241" s="37"/>
      <c r="G241" s="37"/>
      <c r="H241" s="37"/>
      <c r="I241" s="37"/>
      <c r="J241" s="37"/>
      <c r="K241" s="37"/>
      <c r="L241" s="37"/>
      <c r="M241" s="37"/>
      <c r="N241" s="37"/>
      <c r="O241" s="37"/>
      <c r="P241" s="37"/>
      <c r="Q241" s="27"/>
      <c r="R241" s="27"/>
      <c r="S241" s="27"/>
      <c r="T241" s="27"/>
      <c r="U241" s="27"/>
      <c r="V241" s="27"/>
      <c r="W241" s="27"/>
    </row>
    <row r="242" spans="1:23" ht="15" customHeight="1" x14ac:dyDescent="0.2">
      <c r="A242" s="37"/>
      <c r="B242" s="37"/>
      <c r="C242" s="37"/>
      <c r="D242" s="37"/>
      <c r="E242" s="37"/>
      <c r="F242" s="37"/>
      <c r="G242" s="37"/>
      <c r="H242" s="37"/>
      <c r="I242" s="37"/>
      <c r="J242" s="37"/>
      <c r="K242" s="37"/>
      <c r="L242" s="37"/>
      <c r="M242" s="37"/>
      <c r="N242" s="37"/>
      <c r="O242" s="37"/>
      <c r="P242" s="37"/>
      <c r="Q242" s="27"/>
      <c r="R242" s="27"/>
      <c r="S242" s="27"/>
      <c r="T242" s="27"/>
      <c r="U242" s="27"/>
      <c r="V242" s="27"/>
      <c r="W242" s="27"/>
    </row>
    <row r="243" spans="1:23" ht="15" customHeight="1" x14ac:dyDescent="0.2">
      <c r="A243" s="37"/>
      <c r="B243" s="37"/>
      <c r="C243" s="37"/>
      <c r="D243" s="37"/>
      <c r="E243" s="37"/>
      <c r="F243" s="37"/>
      <c r="G243" s="37"/>
      <c r="H243" s="37"/>
      <c r="I243" s="37"/>
      <c r="J243" s="37"/>
      <c r="K243" s="37"/>
      <c r="L243" s="37"/>
      <c r="M243" s="37"/>
      <c r="N243" s="37"/>
      <c r="O243" s="37"/>
      <c r="P243" s="37"/>
      <c r="Q243" s="27"/>
      <c r="R243" s="27"/>
      <c r="S243" s="27"/>
      <c r="T243" s="27"/>
      <c r="U243" s="27"/>
      <c r="V243" s="27"/>
      <c r="W243" s="27"/>
    </row>
    <row r="244" spans="1:23" ht="15" customHeight="1" x14ac:dyDescent="0.2">
      <c r="A244" s="37"/>
      <c r="B244" s="37"/>
      <c r="C244" s="37"/>
      <c r="D244" s="37"/>
      <c r="E244" s="37"/>
      <c r="F244" s="37"/>
      <c r="G244" s="37"/>
      <c r="H244" s="37"/>
      <c r="I244" s="37"/>
      <c r="J244" s="37"/>
      <c r="K244" s="37"/>
      <c r="L244" s="37"/>
      <c r="M244" s="37"/>
      <c r="N244" s="37"/>
      <c r="O244" s="37"/>
      <c r="P244" s="37"/>
      <c r="Q244" s="27"/>
      <c r="R244" s="27"/>
      <c r="S244" s="27"/>
      <c r="T244" s="27"/>
      <c r="U244" s="27"/>
      <c r="V244" s="27"/>
      <c r="W244" s="27"/>
    </row>
    <row r="245" spans="1:23" ht="15" customHeight="1" x14ac:dyDescent="0.2">
      <c r="A245" s="37"/>
      <c r="B245" s="37"/>
      <c r="C245" s="37"/>
      <c r="D245" s="37"/>
      <c r="E245" s="37"/>
      <c r="F245" s="37"/>
      <c r="G245" s="37"/>
      <c r="H245" s="37"/>
      <c r="I245" s="37"/>
      <c r="J245" s="37"/>
      <c r="K245" s="37"/>
      <c r="L245" s="37"/>
      <c r="M245" s="37"/>
      <c r="N245" s="37"/>
      <c r="O245" s="37"/>
      <c r="P245" s="37"/>
      <c r="Q245" s="27"/>
      <c r="R245" s="27"/>
      <c r="S245" s="27"/>
      <c r="T245" s="27"/>
      <c r="U245" s="27"/>
      <c r="V245" s="27"/>
      <c r="W245" s="27"/>
    </row>
    <row r="246" spans="1:23" ht="15" customHeight="1" x14ac:dyDescent="0.2">
      <c r="A246" s="37"/>
      <c r="B246" s="37"/>
      <c r="C246" s="37"/>
      <c r="D246" s="37"/>
      <c r="E246" s="37"/>
      <c r="F246" s="37"/>
      <c r="G246" s="37"/>
      <c r="H246" s="37"/>
      <c r="I246" s="37"/>
      <c r="J246" s="37"/>
      <c r="K246" s="37"/>
      <c r="L246" s="37"/>
      <c r="M246" s="37"/>
      <c r="N246" s="37"/>
      <c r="O246" s="37"/>
      <c r="P246" s="37"/>
      <c r="Q246" s="27"/>
      <c r="R246" s="27"/>
      <c r="S246" s="27"/>
      <c r="T246" s="27"/>
      <c r="U246" s="27"/>
      <c r="V246" s="27"/>
      <c r="W246" s="27"/>
    </row>
    <row r="247" spans="1:23" ht="15" customHeight="1" x14ac:dyDescent="0.2">
      <c r="A247" s="37"/>
      <c r="B247" s="37"/>
      <c r="C247" s="37"/>
      <c r="D247" s="37"/>
      <c r="E247" s="37"/>
      <c r="F247" s="37"/>
      <c r="G247" s="37"/>
      <c r="H247" s="37"/>
      <c r="I247" s="37"/>
      <c r="J247" s="37"/>
      <c r="K247" s="37"/>
      <c r="L247" s="37"/>
      <c r="M247" s="37"/>
      <c r="N247" s="37"/>
      <c r="O247" s="37"/>
      <c r="P247" s="37"/>
      <c r="Q247" s="27"/>
      <c r="R247" s="27"/>
      <c r="S247" s="27"/>
      <c r="T247" s="27"/>
      <c r="U247" s="27"/>
      <c r="V247" s="27"/>
      <c r="W247" s="27"/>
    </row>
    <row r="248" spans="1:23" ht="15" customHeight="1" x14ac:dyDescent="0.2">
      <c r="A248" s="37"/>
      <c r="B248" s="37"/>
      <c r="C248" s="37"/>
      <c r="D248" s="37"/>
      <c r="E248" s="37"/>
      <c r="F248" s="37"/>
      <c r="G248" s="37"/>
      <c r="H248" s="37"/>
      <c r="I248" s="37"/>
      <c r="J248" s="37"/>
      <c r="K248" s="37"/>
      <c r="L248" s="37"/>
      <c r="M248" s="37"/>
      <c r="N248" s="37"/>
      <c r="O248" s="37"/>
      <c r="P248" s="37"/>
      <c r="Q248" s="27"/>
      <c r="R248" s="27"/>
      <c r="S248" s="27"/>
      <c r="T248" s="27"/>
      <c r="U248" s="27"/>
      <c r="V248" s="27"/>
      <c r="W248" s="27"/>
    </row>
    <row r="249" spans="1:23" ht="15" customHeight="1" x14ac:dyDescent="0.2">
      <c r="A249" s="37"/>
      <c r="B249" s="37"/>
      <c r="C249" s="37"/>
      <c r="D249" s="37"/>
      <c r="E249" s="37"/>
      <c r="F249" s="37"/>
      <c r="G249" s="37"/>
      <c r="H249" s="37"/>
      <c r="I249" s="37"/>
      <c r="J249" s="37"/>
      <c r="K249" s="37"/>
      <c r="L249" s="37"/>
      <c r="M249" s="37"/>
      <c r="N249" s="37"/>
      <c r="O249" s="37"/>
      <c r="P249" s="37"/>
      <c r="Q249" s="27"/>
      <c r="R249" s="27"/>
      <c r="S249" s="27"/>
      <c r="T249" s="27"/>
      <c r="U249" s="27"/>
      <c r="V249" s="27"/>
      <c r="W249" s="27"/>
    </row>
    <row r="250" spans="1:23" ht="15" customHeight="1" x14ac:dyDescent="0.2">
      <c r="A250" s="37"/>
      <c r="B250" s="37"/>
      <c r="C250" s="37"/>
      <c r="D250" s="37"/>
      <c r="E250" s="37"/>
      <c r="F250" s="37"/>
      <c r="G250" s="37"/>
      <c r="H250" s="37"/>
      <c r="I250" s="37"/>
      <c r="J250" s="37"/>
      <c r="K250" s="37"/>
      <c r="L250" s="37"/>
      <c r="M250" s="37"/>
      <c r="N250" s="37"/>
      <c r="O250" s="37"/>
      <c r="P250" s="37"/>
      <c r="Q250" s="27"/>
      <c r="R250" s="27"/>
      <c r="S250" s="27"/>
      <c r="T250" s="27"/>
      <c r="U250" s="27"/>
      <c r="V250" s="27"/>
      <c r="W250" s="27"/>
    </row>
    <row r="251" spans="1:23" ht="15" customHeight="1" x14ac:dyDescent="0.2">
      <c r="A251" s="37"/>
      <c r="B251" s="37"/>
      <c r="C251" s="37"/>
      <c r="D251" s="37"/>
      <c r="E251" s="37"/>
      <c r="F251" s="37"/>
      <c r="G251" s="37"/>
      <c r="H251" s="37"/>
      <c r="I251" s="37"/>
      <c r="J251" s="37"/>
      <c r="K251" s="37"/>
      <c r="L251" s="37"/>
      <c r="M251" s="37"/>
      <c r="N251" s="37"/>
      <c r="O251" s="37"/>
      <c r="P251" s="37"/>
      <c r="Q251" s="27"/>
      <c r="R251" s="27"/>
      <c r="S251" s="27"/>
      <c r="T251" s="27"/>
      <c r="U251" s="27"/>
      <c r="V251" s="27"/>
      <c r="W251" s="27"/>
    </row>
    <row r="252" spans="1:23" ht="15" customHeight="1" x14ac:dyDescent="0.2">
      <c r="A252" s="37"/>
      <c r="B252" s="37"/>
      <c r="C252" s="37"/>
      <c r="D252" s="37"/>
      <c r="E252" s="37"/>
      <c r="F252" s="37"/>
      <c r="G252" s="37"/>
      <c r="H252" s="37"/>
      <c r="I252" s="37"/>
      <c r="J252" s="37"/>
      <c r="K252" s="37"/>
      <c r="L252" s="37"/>
      <c r="M252" s="37"/>
      <c r="N252" s="37"/>
      <c r="O252" s="37"/>
      <c r="P252" s="37"/>
      <c r="Q252" s="27"/>
      <c r="R252" s="27"/>
      <c r="S252" s="27"/>
      <c r="T252" s="27"/>
      <c r="U252" s="27"/>
      <c r="V252" s="27"/>
      <c r="W252" s="27"/>
    </row>
    <row r="253" spans="1:23" ht="15" customHeight="1" x14ac:dyDescent="0.2">
      <c r="A253" s="37"/>
      <c r="B253" s="37"/>
      <c r="C253" s="37"/>
      <c r="D253" s="37"/>
      <c r="E253" s="37"/>
      <c r="F253" s="37"/>
      <c r="G253" s="37"/>
      <c r="H253" s="37"/>
      <c r="I253" s="37"/>
      <c r="J253" s="37"/>
      <c r="K253" s="37"/>
      <c r="L253" s="37"/>
      <c r="M253" s="37"/>
      <c r="N253" s="37"/>
      <c r="O253" s="37"/>
      <c r="P253" s="37"/>
      <c r="Q253" s="27"/>
      <c r="R253" s="27"/>
      <c r="S253" s="27"/>
      <c r="T253" s="27"/>
      <c r="U253" s="27"/>
      <c r="V253" s="27"/>
      <c r="W253" s="27"/>
    </row>
    <row r="254" spans="1:23" ht="15" customHeight="1" x14ac:dyDescent="0.2">
      <c r="A254" s="37"/>
      <c r="B254" s="37"/>
      <c r="C254" s="37"/>
      <c r="D254" s="37"/>
      <c r="E254" s="37"/>
      <c r="F254" s="37"/>
      <c r="G254" s="37"/>
      <c r="H254" s="37"/>
      <c r="I254" s="37"/>
      <c r="J254" s="37"/>
      <c r="K254" s="37"/>
      <c r="L254" s="37"/>
      <c r="M254" s="37"/>
      <c r="N254" s="37"/>
      <c r="O254" s="37"/>
      <c r="P254" s="37"/>
      <c r="Q254" s="27"/>
      <c r="R254" s="27"/>
      <c r="S254" s="27"/>
      <c r="T254" s="27"/>
      <c r="U254" s="27"/>
      <c r="V254" s="27"/>
      <c r="W254" s="27"/>
    </row>
    <row r="255" spans="1:23" ht="15" customHeight="1" x14ac:dyDescent="0.2">
      <c r="A255" s="37"/>
      <c r="B255" s="37"/>
      <c r="C255" s="37"/>
      <c r="D255" s="37"/>
      <c r="E255" s="37"/>
      <c r="F255" s="37"/>
      <c r="G255" s="37"/>
      <c r="H255" s="37"/>
      <c r="I255" s="37"/>
      <c r="J255" s="37"/>
      <c r="K255" s="37"/>
      <c r="L255" s="37"/>
      <c r="M255" s="37"/>
      <c r="N255" s="37"/>
      <c r="O255" s="37"/>
      <c r="P255" s="37"/>
      <c r="Q255" s="27"/>
      <c r="R255" s="27"/>
      <c r="S255" s="27"/>
      <c r="T255" s="27"/>
      <c r="U255" s="27"/>
      <c r="V255" s="27"/>
      <c r="W255" s="27"/>
    </row>
    <row r="256" spans="1:23" ht="15" customHeight="1" x14ac:dyDescent="0.2">
      <c r="A256" s="37"/>
      <c r="B256" s="37"/>
      <c r="C256" s="37"/>
      <c r="D256" s="37"/>
      <c r="E256" s="37"/>
      <c r="F256" s="37"/>
      <c r="G256" s="37"/>
      <c r="H256" s="37"/>
      <c r="I256" s="37"/>
      <c r="J256" s="37"/>
      <c r="K256" s="37"/>
      <c r="L256" s="37"/>
      <c r="M256" s="37"/>
      <c r="N256" s="37"/>
      <c r="O256" s="37"/>
      <c r="P256" s="37"/>
      <c r="Q256" s="27"/>
      <c r="R256" s="27"/>
      <c r="S256" s="27"/>
      <c r="T256" s="27"/>
      <c r="U256" s="27"/>
      <c r="V256" s="27"/>
      <c r="W256" s="27"/>
    </row>
    <row r="257" spans="1:23" ht="15" customHeight="1" x14ac:dyDescent="0.2">
      <c r="A257" s="37"/>
      <c r="B257" s="37"/>
      <c r="C257" s="37"/>
      <c r="D257" s="37"/>
      <c r="E257" s="37"/>
      <c r="F257" s="37"/>
      <c r="G257" s="37"/>
      <c r="H257" s="37"/>
      <c r="I257" s="37"/>
      <c r="J257" s="37"/>
      <c r="K257" s="37"/>
      <c r="L257" s="37"/>
      <c r="M257" s="37"/>
      <c r="N257" s="37"/>
      <c r="O257" s="37"/>
      <c r="P257" s="37"/>
      <c r="Q257" s="27"/>
      <c r="R257" s="27"/>
      <c r="S257" s="27"/>
      <c r="T257" s="27"/>
      <c r="U257" s="27"/>
      <c r="V257" s="27"/>
      <c r="W257" s="27"/>
    </row>
    <row r="258" spans="1:23" ht="15" customHeight="1" x14ac:dyDescent="0.2">
      <c r="A258" s="37"/>
      <c r="B258" s="37"/>
      <c r="C258" s="37"/>
      <c r="D258" s="37"/>
      <c r="E258" s="37"/>
      <c r="F258" s="37"/>
      <c r="G258" s="37"/>
      <c r="H258" s="37"/>
      <c r="I258" s="37"/>
      <c r="J258" s="37"/>
      <c r="K258" s="37"/>
      <c r="L258" s="37"/>
      <c r="M258" s="37"/>
      <c r="N258" s="37"/>
      <c r="O258" s="37"/>
      <c r="P258" s="37"/>
      <c r="Q258" s="27"/>
      <c r="R258" s="27"/>
      <c r="S258" s="27"/>
      <c r="T258" s="27"/>
      <c r="U258" s="27"/>
      <c r="V258" s="27"/>
      <c r="W258" s="27"/>
    </row>
    <row r="259" spans="1:23" ht="15" customHeight="1" x14ac:dyDescent="0.2">
      <c r="A259" s="37"/>
      <c r="B259" s="37"/>
      <c r="C259" s="37"/>
      <c r="D259" s="37"/>
      <c r="E259" s="37"/>
      <c r="F259" s="37"/>
      <c r="G259" s="37"/>
      <c r="H259" s="37"/>
      <c r="I259" s="37"/>
      <c r="J259" s="37"/>
      <c r="K259" s="37"/>
      <c r="L259" s="37"/>
      <c r="M259" s="37"/>
      <c r="N259" s="37"/>
      <c r="O259" s="37"/>
      <c r="P259" s="37"/>
      <c r="Q259" s="27"/>
      <c r="R259" s="27"/>
      <c r="S259" s="27"/>
      <c r="T259" s="27"/>
      <c r="U259" s="27"/>
      <c r="V259" s="27"/>
      <c r="W259" s="27"/>
    </row>
    <row r="260" spans="1:23" ht="15" customHeight="1" x14ac:dyDescent="0.2">
      <c r="A260" s="37"/>
      <c r="B260" s="37"/>
      <c r="C260" s="37"/>
      <c r="D260" s="37"/>
      <c r="E260" s="37"/>
      <c r="F260" s="37"/>
      <c r="G260" s="37"/>
      <c r="H260" s="37"/>
      <c r="I260" s="37"/>
      <c r="J260" s="37"/>
      <c r="K260" s="37"/>
      <c r="L260" s="37"/>
      <c r="M260" s="37"/>
      <c r="N260" s="37"/>
      <c r="O260" s="37"/>
      <c r="P260" s="37"/>
      <c r="Q260" s="27"/>
      <c r="R260" s="27"/>
      <c r="S260" s="27"/>
      <c r="T260" s="27"/>
      <c r="U260" s="27"/>
      <c r="V260" s="27"/>
      <c r="W260" s="27"/>
    </row>
    <row r="261" spans="1:23" ht="15" customHeight="1" x14ac:dyDescent="0.2">
      <c r="A261" s="37"/>
      <c r="B261" s="37"/>
      <c r="C261" s="37"/>
      <c r="D261" s="37"/>
      <c r="E261" s="37"/>
      <c r="F261" s="37"/>
      <c r="G261" s="37"/>
      <c r="H261" s="37"/>
      <c r="I261" s="37"/>
      <c r="J261" s="37"/>
      <c r="K261" s="37"/>
      <c r="L261" s="37"/>
      <c r="M261" s="37"/>
      <c r="N261" s="37"/>
      <c r="O261" s="37"/>
      <c r="P261" s="37"/>
      <c r="Q261" s="27"/>
      <c r="R261" s="27"/>
      <c r="S261" s="27"/>
      <c r="T261" s="27"/>
      <c r="U261" s="27"/>
      <c r="V261" s="27"/>
      <c r="W261" s="27"/>
    </row>
    <row r="262" spans="1:23" ht="15" customHeight="1" x14ac:dyDescent="0.2">
      <c r="A262" s="37"/>
      <c r="B262" s="37"/>
      <c r="C262" s="37"/>
      <c r="D262" s="37"/>
      <c r="E262" s="37"/>
      <c r="F262" s="37"/>
      <c r="G262" s="37"/>
      <c r="H262" s="37"/>
      <c r="I262" s="37"/>
      <c r="J262" s="37"/>
      <c r="K262" s="37"/>
      <c r="L262" s="37"/>
      <c r="M262" s="37"/>
      <c r="N262" s="37"/>
      <c r="O262" s="37"/>
      <c r="P262" s="37"/>
      <c r="Q262" s="27"/>
      <c r="R262" s="27"/>
      <c r="S262" s="27"/>
      <c r="T262" s="27"/>
      <c r="U262" s="27"/>
      <c r="V262" s="27"/>
      <c r="W262" s="27"/>
    </row>
    <row r="263" spans="1:23" ht="15" customHeight="1" x14ac:dyDescent="0.2">
      <c r="A263" s="37"/>
      <c r="B263" s="37"/>
      <c r="C263" s="37"/>
      <c r="D263" s="37"/>
      <c r="E263" s="37"/>
      <c r="F263" s="37"/>
      <c r="G263" s="37"/>
      <c r="H263" s="37"/>
      <c r="I263" s="37"/>
      <c r="J263" s="37"/>
      <c r="K263" s="37"/>
      <c r="L263" s="37"/>
      <c r="M263" s="37"/>
      <c r="N263" s="37"/>
      <c r="O263" s="37"/>
      <c r="P263" s="37"/>
      <c r="Q263" s="27"/>
      <c r="R263" s="27"/>
      <c r="S263" s="27"/>
      <c r="T263" s="27"/>
      <c r="U263" s="27"/>
      <c r="V263" s="27"/>
      <c r="W263" s="27"/>
    </row>
    <row r="264" spans="1:23" ht="15" customHeight="1" x14ac:dyDescent="0.2">
      <c r="A264" s="37"/>
      <c r="B264" s="37"/>
      <c r="C264" s="37"/>
      <c r="D264" s="37"/>
      <c r="E264" s="37"/>
      <c r="F264" s="37"/>
      <c r="G264" s="37"/>
      <c r="H264" s="37"/>
      <c r="I264" s="37"/>
      <c r="J264" s="37"/>
      <c r="K264" s="37"/>
      <c r="L264" s="37"/>
      <c r="M264" s="37"/>
      <c r="N264" s="37"/>
      <c r="O264" s="37"/>
      <c r="P264" s="37"/>
      <c r="Q264" s="27"/>
      <c r="R264" s="27"/>
      <c r="S264" s="27"/>
      <c r="T264" s="27"/>
      <c r="U264" s="27"/>
      <c r="V264" s="27"/>
      <c r="W264" s="27"/>
    </row>
    <row r="265" spans="1:23" ht="15" customHeight="1" x14ac:dyDescent="0.2">
      <c r="A265" s="37"/>
      <c r="B265" s="37"/>
      <c r="C265" s="37"/>
      <c r="D265" s="37"/>
      <c r="E265" s="37"/>
      <c r="F265" s="37"/>
      <c r="G265" s="37"/>
      <c r="H265" s="37"/>
      <c r="I265" s="37"/>
      <c r="J265" s="37"/>
      <c r="K265" s="37"/>
      <c r="L265" s="37"/>
      <c r="M265" s="37"/>
      <c r="N265" s="37"/>
      <c r="O265" s="37"/>
      <c r="P265" s="37"/>
      <c r="Q265" s="27"/>
      <c r="R265" s="27"/>
      <c r="S265" s="27"/>
      <c r="T265" s="27"/>
      <c r="U265" s="27"/>
      <c r="V265" s="27"/>
      <c r="W265" s="27"/>
    </row>
    <row r="266" spans="1:23" ht="15" customHeight="1" x14ac:dyDescent="0.2">
      <c r="A266" s="37"/>
      <c r="B266" s="37"/>
      <c r="C266" s="37"/>
      <c r="D266" s="37"/>
      <c r="E266" s="37"/>
      <c r="F266" s="37"/>
      <c r="G266" s="37"/>
      <c r="H266" s="37"/>
      <c r="I266" s="37"/>
      <c r="J266" s="37"/>
      <c r="K266" s="37"/>
      <c r="L266" s="37"/>
      <c r="M266" s="37"/>
      <c r="N266" s="37"/>
      <c r="O266" s="37"/>
      <c r="P266" s="37"/>
      <c r="Q266" s="27"/>
      <c r="R266" s="27"/>
      <c r="S266" s="27"/>
      <c r="T266" s="27"/>
      <c r="U266" s="27"/>
      <c r="V266" s="27"/>
      <c r="W266" s="27"/>
    </row>
    <row r="267" spans="1:23" ht="15" customHeight="1" x14ac:dyDescent="0.2">
      <c r="A267" s="37"/>
      <c r="B267" s="37"/>
      <c r="C267" s="37"/>
      <c r="D267" s="37"/>
      <c r="E267" s="37"/>
      <c r="F267" s="37"/>
      <c r="G267" s="37"/>
      <c r="H267" s="37"/>
      <c r="I267" s="37"/>
      <c r="J267" s="37"/>
      <c r="K267" s="37"/>
      <c r="L267" s="37"/>
      <c r="M267" s="37"/>
      <c r="N267" s="37"/>
      <c r="O267" s="37"/>
      <c r="P267" s="37"/>
      <c r="Q267" s="27"/>
      <c r="R267" s="27"/>
      <c r="S267" s="27"/>
      <c r="T267" s="27"/>
      <c r="U267" s="27"/>
      <c r="V267" s="27"/>
      <c r="W267" s="27"/>
    </row>
    <row r="268" spans="1:23" ht="15" customHeight="1" x14ac:dyDescent="0.2">
      <c r="A268" s="37"/>
      <c r="B268" s="37"/>
      <c r="C268" s="37"/>
      <c r="D268" s="37"/>
      <c r="E268" s="37"/>
      <c r="F268" s="37"/>
      <c r="G268" s="37"/>
      <c r="H268" s="37"/>
      <c r="I268" s="37"/>
      <c r="J268" s="37"/>
      <c r="K268" s="37"/>
      <c r="L268" s="37"/>
      <c r="M268" s="37"/>
      <c r="N268" s="37"/>
      <c r="O268" s="37"/>
      <c r="P268" s="37"/>
      <c r="Q268" s="27"/>
      <c r="R268" s="27"/>
      <c r="S268" s="27"/>
      <c r="T268" s="27"/>
      <c r="U268" s="27"/>
      <c r="V268" s="27"/>
      <c r="W268" s="27"/>
    </row>
    <row r="269" spans="1:23" ht="15" customHeight="1" x14ac:dyDescent="0.2">
      <c r="A269" s="37"/>
      <c r="B269" s="37"/>
      <c r="C269" s="37"/>
      <c r="D269" s="37"/>
      <c r="E269" s="37"/>
      <c r="F269" s="37"/>
      <c r="G269" s="37"/>
      <c r="H269" s="37"/>
      <c r="I269" s="37"/>
      <c r="J269" s="37"/>
      <c r="K269" s="37"/>
      <c r="L269" s="37"/>
      <c r="M269" s="37"/>
      <c r="N269" s="37"/>
      <c r="O269" s="37"/>
      <c r="P269" s="37"/>
      <c r="Q269" s="27"/>
      <c r="R269" s="27"/>
      <c r="S269" s="27"/>
      <c r="T269" s="27"/>
      <c r="U269" s="27"/>
      <c r="V269" s="27"/>
      <c r="W269" s="27"/>
    </row>
    <row r="270" spans="1:23" ht="15" customHeight="1" x14ac:dyDescent="0.2">
      <c r="A270" s="37"/>
      <c r="B270" s="37"/>
      <c r="C270" s="37"/>
      <c r="D270" s="37"/>
      <c r="E270" s="37"/>
      <c r="F270" s="37"/>
      <c r="G270" s="37"/>
      <c r="H270" s="37"/>
      <c r="I270" s="37"/>
      <c r="J270" s="37"/>
      <c r="K270" s="37"/>
      <c r="L270" s="37"/>
      <c r="M270" s="37"/>
      <c r="N270" s="37"/>
      <c r="O270" s="37"/>
      <c r="P270" s="37"/>
      <c r="Q270" s="27"/>
      <c r="R270" s="27"/>
      <c r="S270" s="27"/>
      <c r="T270" s="27"/>
      <c r="U270" s="27"/>
      <c r="V270" s="27"/>
      <c r="W270" s="27"/>
    </row>
    <row r="271" spans="1:23" ht="15" customHeight="1" x14ac:dyDescent="0.2">
      <c r="A271" s="37"/>
      <c r="B271" s="37"/>
      <c r="C271" s="37"/>
      <c r="D271" s="37"/>
      <c r="E271" s="37"/>
      <c r="F271" s="37"/>
      <c r="G271" s="37"/>
      <c r="H271" s="37"/>
      <c r="I271" s="37"/>
      <c r="J271" s="37"/>
      <c r="K271" s="37"/>
      <c r="L271" s="37"/>
      <c r="M271" s="37"/>
      <c r="N271" s="37"/>
      <c r="O271" s="37"/>
      <c r="P271" s="37"/>
      <c r="Q271" s="27"/>
      <c r="R271" s="27"/>
      <c r="S271" s="27"/>
      <c r="T271" s="27"/>
      <c r="U271" s="27"/>
      <c r="V271" s="27"/>
      <c r="W271" s="27"/>
    </row>
    <row r="272" spans="1:23" ht="15" customHeight="1" x14ac:dyDescent="0.2">
      <c r="A272" s="37"/>
      <c r="B272" s="37"/>
      <c r="C272" s="37"/>
      <c r="D272" s="37"/>
      <c r="E272" s="37"/>
      <c r="F272" s="37"/>
      <c r="G272" s="37"/>
      <c r="H272" s="37"/>
      <c r="I272" s="37"/>
      <c r="J272" s="37"/>
      <c r="K272" s="37"/>
      <c r="L272" s="37"/>
      <c r="M272" s="37"/>
      <c r="N272" s="37"/>
      <c r="O272" s="37"/>
      <c r="P272" s="37"/>
      <c r="Q272" s="27"/>
      <c r="R272" s="27"/>
      <c r="S272" s="27"/>
      <c r="T272" s="27"/>
      <c r="U272" s="27"/>
      <c r="V272" s="27"/>
      <c r="W272" s="27"/>
    </row>
    <row r="273" spans="1:23" ht="15" customHeight="1" x14ac:dyDescent="0.2">
      <c r="A273" s="37"/>
      <c r="B273" s="37"/>
      <c r="C273" s="37"/>
      <c r="D273" s="37"/>
      <c r="E273" s="37"/>
      <c r="F273" s="37"/>
      <c r="G273" s="37"/>
      <c r="H273" s="37"/>
      <c r="I273" s="37"/>
      <c r="J273" s="37"/>
      <c r="K273" s="37"/>
      <c r="L273" s="37"/>
      <c r="M273" s="37"/>
      <c r="N273" s="37"/>
      <c r="O273" s="37"/>
      <c r="P273" s="37"/>
      <c r="Q273" s="27"/>
      <c r="R273" s="27"/>
      <c r="S273" s="27"/>
      <c r="T273" s="27"/>
      <c r="U273" s="27"/>
      <c r="V273" s="27"/>
      <c r="W273" s="27"/>
    </row>
    <row r="274" spans="1:23" ht="15" customHeight="1" x14ac:dyDescent="0.2">
      <c r="A274" s="37"/>
      <c r="B274" s="37"/>
      <c r="C274" s="37"/>
      <c r="D274" s="37"/>
      <c r="E274" s="37"/>
      <c r="F274" s="37"/>
      <c r="G274" s="37"/>
      <c r="H274" s="37"/>
      <c r="I274" s="37"/>
      <c r="J274" s="37"/>
      <c r="K274" s="37"/>
      <c r="L274" s="37"/>
      <c r="M274" s="37"/>
      <c r="N274" s="37"/>
      <c r="O274" s="37"/>
      <c r="P274" s="37"/>
      <c r="Q274" s="27"/>
      <c r="R274" s="27"/>
      <c r="S274" s="27"/>
      <c r="T274" s="27"/>
      <c r="U274" s="27"/>
      <c r="V274" s="27"/>
      <c r="W274" s="27"/>
    </row>
    <row r="275" spans="1:23" ht="15" customHeight="1" x14ac:dyDescent="0.2">
      <c r="A275" s="37"/>
      <c r="B275" s="37"/>
      <c r="C275" s="37"/>
      <c r="D275" s="37"/>
      <c r="E275" s="37"/>
      <c r="F275" s="37"/>
      <c r="G275" s="37"/>
      <c r="H275" s="37"/>
      <c r="I275" s="37"/>
      <c r="J275" s="37"/>
      <c r="K275" s="37"/>
      <c r="L275" s="37"/>
      <c r="M275" s="37"/>
      <c r="N275" s="37"/>
      <c r="O275" s="37"/>
      <c r="P275" s="37"/>
      <c r="Q275" s="27"/>
      <c r="R275" s="27"/>
      <c r="S275" s="27"/>
      <c r="T275" s="27"/>
      <c r="U275" s="27"/>
      <c r="V275" s="27"/>
      <c r="W275" s="27"/>
    </row>
    <row r="276" spans="1:23" ht="15" customHeight="1" x14ac:dyDescent="0.2">
      <c r="A276" s="37"/>
      <c r="B276" s="37"/>
      <c r="C276" s="37"/>
      <c r="D276" s="37"/>
      <c r="E276" s="37"/>
      <c r="F276" s="37"/>
      <c r="G276" s="37"/>
      <c r="H276" s="37"/>
      <c r="I276" s="37"/>
      <c r="J276" s="37"/>
      <c r="K276" s="37"/>
      <c r="L276" s="37"/>
      <c r="M276" s="37"/>
      <c r="N276" s="37"/>
      <c r="O276" s="37"/>
      <c r="P276" s="37"/>
      <c r="Q276" s="27"/>
      <c r="R276" s="27"/>
      <c r="S276" s="27"/>
      <c r="T276" s="27"/>
      <c r="U276" s="27"/>
      <c r="V276" s="27"/>
      <c r="W276" s="27"/>
    </row>
    <row r="277" spans="1:23" ht="15" customHeight="1" x14ac:dyDescent="0.2">
      <c r="A277" s="37"/>
      <c r="B277" s="37"/>
      <c r="C277" s="37"/>
      <c r="D277" s="37"/>
      <c r="E277" s="37"/>
      <c r="F277" s="37"/>
      <c r="G277" s="37"/>
      <c r="H277" s="37"/>
      <c r="I277" s="37"/>
      <c r="J277" s="37"/>
      <c r="K277" s="37"/>
      <c r="L277" s="37"/>
      <c r="M277" s="37"/>
      <c r="N277" s="37"/>
      <c r="O277" s="37"/>
      <c r="P277" s="37"/>
      <c r="Q277" s="27"/>
      <c r="R277" s="27"/>
      <c r="S277" s="27"/>
      <c r="T277" s="27"/>
      <c r="U277" s="27"/>
      <c r="V277" s="27"/>
      <c r="W277" s="27"/>
    </row>
    <row r="278" spans="1:23" ht="15" customHeight="1" x14ac:dyDescent="0.2">
      <c r="A278" s="37"/>
      <c r="B278" s="37"/>
      <c r="C278" s="37"/>
      <c r="D278" s="37"/>
      <c r="E278" s="37"/>
      <c r="F278" s="37"/>
      <c r="G278" s="37"/>
      <c r="H278" s="37"/>
      <c r="I278" s="37"/>
      <c r="J278" s="37"/>
      <c r="K278" s="37"/>
      <c r="L278" s="37"/>
      <c r="M278" s="37"/>
      <c r="N278" s="37"/>
      <c r="O278" s="37"/>
      <c r="P278" s="37"/>
      <c r="Q278" s="27"/>
      <c r="R278" s="27"/>
      <c r="S278" s="27"/>
      <c r="T278" s="27"/>
      <c r="U278" s="27"/>
      <c r="V278" s="27"/>
      <c r="W278" s="27"/>
    </row>
    <row r="279" spans="1:23" ht="15" customHeight="1" x14ac:dyDescent="0.2">
      <c r="A279" s="37"/>
      <c r="B279" s="37"/>
      <c r="C279" s="37"/>
      <c r="D279" s="37"/>
      <c r="E279" s="37"/>
      <c r="F279" s="37"/>
      <c r="G279" s="37"/>
      <c r="H279" s="37"/>
      <c r="I279" s="37"/>
      <c r="J279" s="37"/>
      <c r="K279" s="37"/>
      <c r="L279" s="37"/>
      <c r="M279" s="37"/>
      <c r="N279" s="37"/>
      <c r="O279" s="37"/>
      <c r="P279" s="37"/>
      <c r="Q279" s="27"/>
      <c r="R279" s="27"/>
      <c r="S279" s="27"/>
      <c r="T279" s="27"/>
      <c r="U279" s="27"/>
      <c r="V279" s="27"/>
      <c r="W279" s="27"/>
    </row>
    <row r="280" spans="1:23" ht="15" customHeight="1" x14ac:dyDescent="0.2">
      <c r="A280" s="37"/>
      <c r="B280" s="37"/>
      <c r="C280" s="37"/>
      <c r="D280" s="37"/>
      <c r="E280" s="37"/>
      <c r="F280" s="37"/>
      <c r="G280" s="37"/>
      <c r="H280" s="37"/>
      <c r="I280" s="37"/>
      <c r="J280" s="37"/>
      <c r="K280" s="37"/>
      <c r="L280" s="37"/>
      <c r="M280" s="37"/>
      <c r="N280" s="37"/>
      <c r="O280" s="37"/>
      <c r="P280" s="37"/>
      <c r="Q280" s="27"/>
      <c r="R280" s="27"/>
      <c r="S280" s="27"/>
      <c r="T280" s="27"/>
      <c r="U280" s="27"/>
      <c r="V280" s="27"/>
      <c r="W280" s="27"/>
    </row>
    <row r="281" spans="1:23" ht="15" customHeight="1" x14ac:dyDescent="0.2">
      <c r="A281" s="37"/>
      <c r="B281" s="37"/>
      <c r="C281" s="37"/>
      <c r="D281" s="37"/>
      <c r="E281" s="37"/>
      <c r="F281" s="37"/>
      <c r="G281" s="37"/>
      <c r="H281" s="37"/>
      <c r="I281" s="37"/>
      <c r="J281" s="37"/>
      <c r="K281" s="37"/>
      <c r="L281" s="37"/>
      <c r="M281" s="37"/>
      <c r="N281" s="37"/>
      <c r="O281" s="37"/>
      <c r="P281" s="37"/>
      <c r="Q281" s="27"/>
      <c r="R281" s="27"/>
      <c r="S281" s="27"/>
      <c r="T281" s="27"/>
      <c r="U281" s="27"/>
      <c r="V281" s="27"/>
      <c r="W281" s="27"/>
    </row>
    <row r="282" spans="1:23" ht="15" customHeight="1" x14ac:dyDescent="0.2">
      <c r="A282" s="37"/>
      <c r="B282" s="37"/>
      <c r="C282" s="37"/>
      <c r="D282" s="37"/>
      <c r="E282" s="37"/>
      <c r="F282" s="37"/>
      <c r="G282" s="37"/>
      <c r="H282" s="37"/>
      <c r="I282" s="37"/>
      <c r="J282" s="37"/>
      <c r="K282" s="37"/>
      <c r="L282" s="37"/>
      <c r="M282" s="37"/>
      <c r="N282" s="37"/>
      <c r="O282" s="37"/>
      <c r="P282" s="37"/>
      <c r="Q282" s="27"/>
      <c r="R282" s="27"/>
      <c r="S282" s="27"/>
      <c r="T282" s="27"/>
      <c r="U282" s="27"/>
      <c r="V282" s="27"/>
      <c r="W282" s="27"/>
    </row>
    <row r="283" spans="1:23" ht="15" customHeight="1" x14ac:dyDescent="0.2">
      <c r="A283" s="37"/>
      <c r="B283" s="37"/>
      <c r="C283" s="37"/>
      <c r="D283" s="37"/>
      <c r="E283" s="37"/>
      <c r="F283" s="37"/>
      <c r="G283" s="37"/>
      <c r="H283" s="37"/>
      <c r="I283" s="37"/>
      <c r="J283" s="37"/>
      <c r="K283" s="37"/>
      <c r="L283" s="37"/>
      <c r="M283" s="37"/>
      <c r="N283" s="37"/>
      <c r="O283" s="37"/>
      <c r="P283" s="37"/>
      <c r="Q283" s="27"/>
      <c r="R283" s="27"/>
      <c r="S283" s="27"/>
      <c r="T283" s="27"/>
      <c r="U283" s="27"/>
      <c r="V283" s="27"/>
      <c r="W283" s="27"/>
    </row>
    <row r="284" spans="1:23" ht="15" customHeight="1" x14ac:dyDescent="0.2">
      <c r="A284" s="37"/>
      <c r="B284" s="37"/>
      <c r="C284" s="37"/>
      <c r="D284" s="37"/>
      <c r="E284" s="37"/>
      <c r="F284" s="37"/>
      <c r="G284" s="37"/>
      <c r="H284" s="37"/>
      <c r="I284" s="37"/>
      <c r="J284" s="37"/>
      <c r="K284" s="37"/>
      <c r="L284" s="37"/>
      <c r="M284" s="37"/>
      <c r="N284" s="37"/>
      <c r="O284" s="37"/>
      <c r="P284" s="37"/>
      <c r="Q284" s="27"/>
      <c r="R284" s="27"/>
      <c r="S284" s="27"/>
      <c r="T284" s="27"/>
      <c r="U284" s="27"/>
      <c r="V284" s="27"/>
      <c r="W284" s="27"/>
    </row>
    <row r="285" spans="1:23" ht="15" customHeight="1" x14ac:dyDescent="0.2">
      <c r="A285" s="37"/>
      <c r="B285" s="37"/>
      <c r="C285" s="37"/>
      <c r="D285" s="37"/>
      <c r="E285" s="37"/>
      <c r="F285" s="37"/>
      <c r="G285" s="37"/>
      <c r="H285" s="37"/>
      <c r="I285" s="37"/>
      <c r="J285" s="37"/>
      <c r="K285" s="37"/>
      <c r="L285" s="37"/>
      <c r="M285" s="37"/>
      <c r="N285" s="37"/>
      <c r="O285" s="37"/>
      <c r="P285" s="37"/>
      <c r="Q285" s="27"/>
      <c r="R285" s="27"/>
      <c r="S285" s="27"/>
      <c r="T285" s="27"/>
      <c r="U285" s="27"/>
      <c r="V285" s="27"/>
      <c r="W285" s="27"/>
    </row>
    <row r="286" spans="1:23" ht="15" customHeight="1" x14ac:dyDescent="0.2">
      <c r="A286" s="37"/>
      <c r="B286" s="37"/>
      <c r="C286" s="37"/>
      <c r="D286" s="37"/>
      <c r="E286" s="37"/>
      <c r="F286" s="37"/>
      <c r="G286" s="37"/>
      <c r="H286" s="37"/>
      <c r="I286" s="37"/>
      <c r="J286" s="37"/>
      <c r="K286" s="37"/>
      <c r="L286" s="37"/>
      <c r="M286" s="37"/>
      <c r="N286" s="37"/>
      <c r="O286" s="37"/>
      <c r="P286" s="37"/>
      <c r="Q286" s="27"/>
      <c r="R286" s="27"/>
      <c r="S286" s="27"/>
      <c r="T286" s="27"/>
      <c r="U286" s="27"/>
      <c r="V286" s="27"/>
      <c r="W286" s="27"/>
    </row>
    <row r="287" spans="1:23" ht="15" customHeight="1" x14ac:dyDescent="0.2">
      <c r="A287" s="37"/>
      <c r="B287" s="37"/>
      <c r="C287" s="37"/>
      <c r="D287" s="37"/>
      <c r="E287" s="37"/>
      <c r="F287" s="37"/>
      <c r="G287" s="37"/>
      <c r="H287" s="37"/>
      <c r="I287" s="37"/>
      <c r="J287" s="37"/>
      <c r="K287" s="37"/>
      <c r="L287" s="37"/>
      <c r="M287" s="37"/>
      <c r="N287" s="37"/>
      <c r="O287" s="37"/>
      <c r="P287" s="37"/>
      <c r="Q287" s="27"/>
      <c r="R287" s="27"/>
      <c r="S287" s="27"/>
      <c r="T287" s="27"/>
      <c r="U287" s="27"/>
      <c r="V287" s="27"/>
      <c r="W287" s="27"/>
    </row>
    <row r="288" spans="1:23" ht="15" customHeight="1" x14ac:dyDescent="0.2">
      <c r="A288" s="37"/>
      <c r="B288" s="37"/>
      <c r="C288" s="37"/>
      <c r="D288" s="37"/>
      <c r="E288" s="37"/>
      <c r="F288" s="37"/>
      <c r="G288" s="37"/>
      <c r="H288" s="37"/>
      <c r="I288" s="37"/>
      <c r="J288" s="37"/>
      <c r="K288" s="37"/>
      <c r="L288" s="37"/>
      <c r="M288" s="37"/>
      <c r="N288" s="37"/>
      <c r="O288" s="37"/>
      <c r="P288" s="37"/>
      <c r="Q288" s="27"/>
      <c r="R288" s="27"/>
      <c r="S288" s="27"/>
      <c r="T288" s="27"/>
      <c r="U288" s="27"/>
      <c r="V288" s="27"/>
      <c r="W288" s="27"/>
    </row>
    <row r="289" spans="1:23" ht="15" customHeight="1" x14ac:dyDescent="0.2">
      <c r="A289" s="37"/>
      <c r="B289" s="37"/>
      <c r="C289" s="37"/>
      <c r="D289" s="37"/>
      <c r="E289" s="37"/>
      <c r="F289" s="37"/>
      <c r="G289" s="37"/>
      <c r="H289" s="37"/>
      <c r="I289" s="37"/>
      <c r="J289" s="37"/>
      <c r="K289" s="37"/>
      <c r="L289" s="37"/>
      <c r="M289" s="37"/>
      <c r="N289" s="37"/>
      <c r="O289" s="37"/>
      <c r="P289" s="37"/>
      <c r="Q289" s="27"/>
      <c r="R289" s="27"/>
      <c r="S289" s="27"/>
      <c r="T289" s="27"/>
      <c r="U289" s="27"/>
      <c r="V289" s="27"/>
      <c r="W289" s="27"/>
    </row>
    <row r="290" spans="1:23" ht="15" customHeight="1" x14ac:dyDescent="0.2">
      <c r="A290" s="37"/>
      <c r="B290" s="37"/>
      <c r="C290" s="37"/>
      <c r="D290" s="37"/>
      <c r="E290" s="37"/>
      <c r="F290" s="37"/>
      <c r="G290" s="37"/>
      <c r="H290" s="37"/>
      <c r="I290" s="37"/>
      <c r="J290" s="37"/>
      <c r="K290" s="37"/>
      <c r="L290" s="37"/>
      <c r="M290" s="37"/>
      <c r="N290" s="37"/>
      <c r="O290" s="37"/>
      <c r="P290" s="37"/>
      <c r="Q290" s="27"/>
      <c r="R290" s="27"/>
      <c r="S290" s="27"/>
      <c r="T290" s="27"/>
      <c r="U290" s="27"/>
      <c r="V290" s="27"/>
      <c r="W290" s="27"/>
    </row>
    <row r="291" spans="1:23" ht="15" customHeight="1" x14ac:dyDescent="0.2">
      <c r="A291" s="37"/>
      <c r="B291" s="37"/>
      <c r="C291" s="37"/>
      <c r="D291" s="37"/>
      <c r="E291" s="37"/>
      <c r="F291" s="37"/>
      <c r="G291" s="37"/>
      <c r="H291" s="37"/>
      <c r="I291" s="37"/>
      <c r="J291" s="37"/>
      <c r="K291" s="37"/>
      <c r="L291" s="37"/>
      <c r="M291" s="37"/>
      <c r="N291" s="37"/>
      <c r="O291" s="37"/>
      <c r="P291" s="37"/>
      <c r="Q291" s="27"/>
      <c r="R291" s="27"/>
      <c r="S291" s="27"/>
      <c r="T291" s="27"/>
      <c r="U291" s="27"/>
      <c r="V291" s="27"/>
      <c r="W291" s="27"/>
    </row>
    <row r="292" spans="1:23" ht="15" customHeight="1" x14ac:dyDescent="0.2">
      <c r="A292" s="37"/>
      <c r="B292" s="37"/>
      <c r="C292" s="37"/>
      <c r="D292" s="37"/>
      <c r="E292" s="37"/>
      <c r="F292" s="37"/>
      <c r="G292" s="37"/>
      <c r="H292" s="37"/>
      <c r="I292" s="37"/>
      <c r="J292" s="37"/>
      <c r="K292" s="37"/>
      <c r="L292" s="37"/>
      <c r="M292" s="37"/>
      <c r="N292" s="37"/>
      <c r="O292" s="37"/>
      <c r="P292" s="37"/>
      <c r="Q292" s="27"/>
      <c r="R292" s="27"/>
      <c r="S292" s="27"/>
      <c r="T292" s="27"/>
      <c r="U292" s="27"/>
      <c r="V292" s="27"/>
      <c r="W292" s="27"/>
    </row>
    <row r="293" spans="1:23" ht="15" customHeight="1" x14ac:dyDescent="0.2">
      <c r="A293" s="37"/>
      <c r="B293" s="37"/>
      <c r="C293" s="37"/>
      <c r="D293" s="37"/>
      <c r="E293" s="37"/>
      <c r="F293" s="37"/>
      <c r="G293" s="37"/>
      <c r="H293" s="37"/>
      <c r="I293" s="37"/>
      <c r="J293" s="37"/>
      <c r="K293" s="37"/>
      <c r="L293" s="37"/>
      <c r="M293" s="37"/>
      <c r="N293" s="37"/>
      <c r="O293" s="37"/>
      <c r="P293" s="37"/>
      <c r="Q293" s="27"/>
      <c r="R293" s="27"/>
      <c r="S293" s="27"/>
      <c r="T293" s="27"/>
      <c r="U293" s="27"/>
      <c r="V293" s="27"/>
      <c r="W293" s="27"/>
    </row>
    <row r="294" spans="1:23" ht="15" customHeight="1" x14ac:dyDescent="0.2">
      <c r="A294" s="37"/>
      <c r="B294" s="37"/>
      <c r="C294" s="37"/>
      <c r="D294" s="37"/>
      <c r="E294" s="37"/>
      <c r="F294" s="37"/>
      <c r="G294" s="37"/>
      <c r="H294" s="37"/>
      <c r="I294" s="37"/>
      <c r="J294" s="37"/>
      <c r="K294" s="37"/>
      <c r="L294" s="37"/>
      <c r="M294" s="37"/>
      <c r="N294" s="37"/>
      <c r="O294" s="37"/>
      <c r="P294" s="37"/>
      <c r="Q294" s="27"/>
      <c r="R294" s="27"/>
      <c r="S294" s="27"/>
      <c r="T294" s="27"/>
      <c r="U294" s="27"/>
      <c r="V294" s="27"/>
      <c r="W294" s="27"/>
    </row>
    <row r="295" spans="1:23" ht="15" customHeight="1" x14ac:dyDescent="0.2">
      <c r="A295" s="37"/>
      <c r="B295" s="37"/>
      <c r="C295" s="37"/>
      <c r="D295" s="37"/>
      <c r="E295" s="37"/>
      <c r="F295" s="37"/>
      <c r="G295" s="37"/>
      <c r="H295" s="37"/>
      <c r="I295" s="37"/>
      <c r="J295" s="37"/>
      <c r="K295" s="37"/>
      <c r="L295" s="37"/>
      <c r="M295" s="37"/>
      <c r="N295" s="37"/>
      <c r="O295" s="37"/>
      <c r="P295" s="37"/>
      <c r="Q295" s="27"/>
      <c r="R295" s="27"/>
      <c r="S295" s="27"/>
      <c r="T295" s="27"/>
      <c r="U295" s="27"/>
      <c r="V295" s="27"/>
      <c r="W295" s="27"/>
    </row>
    <row r="296" spans="1:23" ht="15" customHeight="1" x14ac:dyDescent="0.2">
      <c r="A296" s="37"/>
      <c r="B296" s="37"/>
      <c r="C296" s="37"/>
      <c r="D296" s="37"/>
      <c r="E296" s="37"/>
      <c r="F296" s="37"/>
      <c r="G296" s="37"/>
      <c r="H296" s="37"/>
      <c r="I296" s="37"/>
      <c r="J296" s="37"/>
      <c r="K296" s="37"/>
      <c r="L296" s="37"/>
      <c r="M296" s="37"/>
      <c r="N296" s="37"/>
      <c r="O296" s="37"/>
      <c r="P296" s="37"/>
      <c r="Q296" s="27"/>
      <c r="R296" s="27"/>
      <c r="S296" s="27"/>
      <c r="T296" s="27"/>
      <c r="U296" s="27"/>
      <c r="V296" s="27"/>
      <c r="W296" s="27"/>
    </row>
    <row r="297" spans="1:23" ht="15" customHeight="1" x14ac:dyDescent="0.2">
      <c r="A297" s="37"/>
      <c r="B297" s="37"/>
      <c r="C297" s="37"/>
      <c r="D297" s="37"/>
      <c r="E297" s="37"/>
      <c r="F297" s="37"/>
      <c r="G297" s="37"/>
      <c r="H297" s="37"/>
      <c r="I297" s="37"/>
      <c r="J297" s="37"/>
      <c r="K297" s="37"/>
      <c r="L297" s="37"/>
      <c r="M297" s="37"/>
      <c r="N297" s="37"/>
      <c r="O297" s="37"/>
      <c r="P297" s="37"/>
      <c r="Q297" s="27"/>
      <c r="R297" s="27"/>
      <c r="S297" s="27"/>
      <c r="T297" s="27"/>
      <c r="U297" s="27"/>
      <c r="V297" s="27"/>
      <c r="W297" s="27"/>
    </row>
    <row r="298" spans="1:23" ht="15" customHeight="1" x14ac:dyDescent="0.2">
      <c r="A298" s="37"/>
      <c r="B298" s="37"/>
      <c r="C298" s="37"/>
      <c r="D298" s="37"/>
      <c r="E298" s="37"/>
      <c r="F298" s="37"/>
      <c r="G298" s="37"/>
      <c r="H298" s="37"/>
      <c r="I298" s="37"/>
      <c r="J298" s="37"/>
      <c r="K298" s="37"/>
      <c r="L298" s="37"/>
      <c r="M298" s="37"/>
      <c r="N298" s="37"/>
      <c r="O298" s="37"/>
      <c r="P298" s="37"/>
      <c r="Q298" s="27"/>
      <c r="R298" s="27"/>
      <c r="S298" s="27"/>
      <c r="T298" s="27"/>
      <c r="U298" s="27"/>
      <c r="V298" s="27"/>
      <c r="W298" s="27"/>
    </row>
    <row r="299" spans="1:23" ht="15" customHeight="1" x14ac:dyDescent="0.2">
      <c r="A299" s="37"/>
      <c r="B299" s="37"/>
      <c r="C299" s="37"/>
      <c r="D299" s="37"/>
      <c r="E299" s="37"/>
      <c r="F299" s="37"/>
      <c r="G299" s="37"/>
      <c r="H299" s="37"/>
      <c r="I299" s="37"/>
      <c r="J299" s="37"/>
      <c r="K299" s="37"/>
      <c r="L299" s="37"/>
      <c r="M299" s="37"/>
      <c r="N299" s="37"/>
      <c r="O299" s="37"/>
      <c r="P299" s="37"/>
      <c r="Q299" s="27"/>
      <c r="R299" s="27"/>
      <c r="S299" s="27"/>
      <c r="T299" s="27"/>
      <c r="U299" s="27"/>
      <c r="V299" s="27"/>
      <c r="W299" s="27"/>
    </row>
    <row r="300" spans="1:23" ht="15" customHeight="1" x14ac:dyDescent="0.2">
      <c r="A300" s="37"/>
      <c r="B300" s="37"/>
      <c r="C300" s="37"/>
      <c r="D300" s="37"/>
      <c r="E300" s="37"/>
      <c r="F300" s="37"/>
      <c r="G300" s="37"/>
      <c r="H300" s="37"/>
      <c r="I300" s="37"/>
      <c r="J300" s="37"/>
      <c r="K300" s="37"/>
      <c r="L300" s="37"/>
      <c r="M300" s="37"/>
      <c r="N300" s="37"/>
      <c r="O300" s="37"/>
      <c r="P300" s="37"/>
      <c r="Q300" s="27"/>
      <c r="R300" s="27"/>
      <c r="S300" s="27"/>
      <c r="T300" s="27"/>
      <c r="U300" s="27"/>
      <c r="V300" s="27"/>
      <c r="W300" s="27"/>
    </row>
    <row r="301" spans="1:23" ht="15" customHeight="1" x14ac:dyDescent="0.2">
      <c r="A301" s="37"/>
      <c r="B301" s="37"/>
      <c r="C301" s="37"/>
      <c r="D301" s="37"/>
      <c r="E301" s="37"/>
      <c r="F301" s="37"/>
      <c r="G301" s="37"/>
      <c r="H301" s="37"/>
      <c r="I301" s="37"/>
      <c r="J301" s="37"/>
      <c r="K301" s="37"/>
      <c r="L301" s="37"/>
      <c r="M301" s="37"/>
      <c r="N301" s="37"/>
      <c r="O301" s="37"/>
      <c r="P301" s="37"/>
      <c r="Q301" s="27"/>
      <c r="R301" s="27"/>
      <c r="S301" s="27"/>
      <c r="T301" s="27"/>
      <c r="U301" s="27"/>
      <c r="V301" s="27"/>
      <c r="W301" s="27"/>
    </row>
    <row r="302" spans="1:23" ht="15" customHeight="1" x14ac:dyDescent="0.2">
      <c r="A302" s="37"/>
      <c r="B302" s="37"/>
      <c r="C302" s="37"/>
      <c r="D302" s="37"/>
      <c r="E302" s="37"/>
      <c r="F302" s="37"/>
      <c r="G302" s="37"/>
      <c r="H302" s="37"/>
      <c r="I302" s="37"/>
      <c r="J302" s="37"/>
      <c r="K302" s="37"/>
      <c r="L302" s="37"/>
      <c r="M302" s="37"/>
      <c r="N302" s="37"/>
      <c r="O302" s="37"/>
      <c r="P302" s="37"/>
      <c r="Q302" s="27"/>
      <c r="R302" s="27"/>
      <c r="S302" s="27"/>
      <c r="T302" s="27"/>
      <c r="U302" s="27"/>
      <c r="V302" s="27"/>
      <c r="W302" s="27"/>
    </row>
    <row r="303" spans="1:23" ht="15" customHeight="1" x14ac:dyDescent="0.2">
      <c r="A303" s="37"/>
      <c r="B303" s="37"/>
      <c r="C303" s="37"/>
      <c r="D303" s="37"/>
      <c r="E303" s="37"/>
      <c r="F303" s="37"/>
      <c r="G303" s="37"/>
      <c r="H303" s="37"/>
      <c r="I303" s="37"/>
      <c r="J303" s="37"/>
      <c r="K303" s="37"/>
      <c r="L303" s="37"/>
      <c r="M303" s="37"/>
      <c r="N303" s="37"/>
      <c r="O303" s="37"/>
      <c r="P303" s="37"/>
      <c r="Q303" s="27"/>
      <c r="R303" s="27"/>
      <c r="S303" s="27"/>
      <c r="T303" s="27"/>
      <c r="U303" s="27"/>
      <c r="V303" s="27"/>
      <c r="W303" s="27"/>
    </row>
    <row r="304" spans="1:23" ht="15" customHeight="1" x14ac:dyDescent="0.2">
      <c r="A304" s="37"/>
      <c r="B304" s="37"/>
      <c r="C304" s="37"/>
      <c r="D304" s="37"/>
      <c r="E304" s="37"/>
      <c r="F304" s="37"/>
      <c r="G304" s="37"/>
      <c r="H304" s="37"/>
      <c r="I304" s="37"/>
      <c r="J304" s="37"/>
      <c r="K304" s="37"/>
      <c r="L304" s="37"/>
      <c r="M304" s="37"/>
      <c r="N304" s="37"/>
      <c r="O304" s="37"/>
      <c r="P304" s="37"/>
      <c r="Q304" s="27"/>
      <c r="R304" s="27"/>
      <c r="S304" s="27"/>
      <c r="T304" s="27"/>
      <c r="U304" s="27"/>
      <c r="V304" s="27"/>
      <c r="W304" s="27"/>
    </row>
    <row r="305" spans="1:23" ht="15" customHeight="1" x14ac:dyDescent="0.2">
      <c r="A305" s="37"/>
      <c r="B305" s="37"/>
      <c r="C305" s="37"/>
      <c r="D305" s="37"/>
      <c r="E305" s="37"/>
      <c r="F305" s="37"/>
      <c r="G305" s="37"/>
      <c r="H305" s="37"/>
      <c r="I305" s="37"/>
      <c r="J305" s="37"/>
      <c r="K305" s="37"/>
      <c r="L305" s="37"/>
      <c r="M305" s="37"/>
      <c r="N305" s="37"/>
      <c r="O305" s="37"/>
      <c r="P305" s="37"/>
      <c r="Q305" s="27"/>
      <c r="R305" s="27"/>
      <c r="S305" s="27"/>
      <c r="T305" s="27"/>
      <c r="U305" s="27"/>
      <c r="V305" s="27"/>
      <c r="W305" s="27"/>
    </row>
    <row r="306" spans="1:23" ht="15" customHeight="1" x14ac:dyDescent="0.2">
      <c r="A306" s="37"/>
      <c r="B306" s="37"/>
      <c r="C306" s="37"/>
      <c r="D306" s="37"/>
      <c r="E306" s="37"/>
      <c r="F306" s="37"/>
      <c r="G306" s="37"/>
      <c r="H306" s="37"/>
      <c r="I306" s="37"/>
      <c r="J306" s="37"/>
      <c r="K306" s="37"/>
      <c r="L306" s="37"/>
      <c r="M306" s="37"/>
      <c r="N306" s="37"/>
      <c r="O306" s="37"/>
      <c r="P306" s="37"/>
      <c r="Q306" s="27"/>
      <c r="R306" s="27"/>
      <c r="S306" s="27"/>
      <c r="T306" s="27"/>
      <c r="U306" s="27"/>
      <c r="V306" s="27"/>
      <c r="W306" s="27"/>
    </row>
    <row r="307" spans="1:23" ht="15" customHeight="1" x14ac:dyDescent="0.2">
      <c r="A307" s="37"/>
      <c r="B307" s="37"/>
      <c r="C307" s="37"/>
      <c r="D307" s="37"/>
      <c r="E307" s="37"/>
      <c r="F307" s="37"/>
      <c r="G307" s="37"/>
      <c r="H307" s="37"/>
      <c r="I307" s="37"/>
      <c r="J307" s="37"/>
      <c r="K307" s="37"/>
      <c r="L307" s="37"/>
      <c r="M307" s="37"/>
      <c r="N307" s="37"/>
      <c r="O307" s="37"/>
      <c r="P307" s="37"/>
      <c r="Q307" s="27"/>
      <c r="R307" s="27"/>
      <c r="S307" s="27"/>
      <c r="T307" s="27"/>
      <c r="U307" s="27"/>
      <c r="V307" s="27"/>
      <c r="W307" s="27"/>
    </row>
    <row r="308" spans="1:23" ht="15" customHeight="1" x14ac:dyDescent="0.2">
      <c r="A308" s="37"/>
      <c r="B308" s="37"/>
      <c r="C308" s="37"/>
      <c r="D308" s="37"/>
      <c r="E308" s="37"/>
      <c r="F308" s="37"/>
      <c r="G308" s="37"/>
      <c r="H308" s="37"/>
      <c r="I308" s="37"/>
      <c r="J308" s="37"/>
      <c r="K308" s="37"/>
      <c r="L308" s="37"/>
      <c r="M308" s="37"/>
      <c r="N308" s="37"/>
      <c r="O308" s="37"/>
      <c r="P308" s="37"/>
      <c r="Q308" s="27"/>
      <c r="R308" s="27"/>
      <c r="S308" s="27"/>
      <c r="T308" s="27"/>
      <c r="U308" s="27"/>
      <c r="V308" s="27"/>
      <c r="W308" s="27"/>
    </row>
    <row r="309" spans="1:23" ht="15" customHeight="1" x14ac:dyDescent="0.2">
      <c r="A309" s="37"/>
      <c r="B309" s="37"/>
      <c r="C309" s="37"/>
      <c r="D309" s="37"/>
      <c r="E309" s="37"/>
      <c r="F309" s="37"/>
      <c r="G309" s="37"/>
      <c r="H309" s="37"/>
      <c r="I309" s="37"/>
      <c r="J309" s="37"/>
      <c r="K309" s="37"/>
      <c r="L309" s="37"/>
      <c r="M309" s="37"/>
      <c r="N309" s="37"/>
      <c r="O309" s="37"/>
      <c r="P309" s="37"/>
      <c r="Q309" s="27"/>
      <c r="R309" s="27"/>
      <c r="S309" s="27"/>
      <c r="T309" s="27"/>
      <c r="U309" s="27"/>
      <c r="V309" s="27"/>
      <c r="W309" s="27"/>
    </row>
    <row r="310" spans="1:23" ht="15" customHeight="1" x14ac:dyDescent="0.2">
      <c r="A310" s="37"/>
      <c r="B310" s="37"/>
      <c r="C310" s="37"/>
      <c r="D310" s="37"/>
      <c r="E310" s="37"/>
      <c r="F310" s="37"/>
      <c r="G310" s="37"/>
      <c r="H310" s="37"/>
      <c r="I310" s="37"/>
      <c r="J310" s="37"/>
      <c r="K310" s="37"/>
      <c r="L310" s="37"/>
      <c r="M310" s="37"/>
      <c r="N310" s="37"/>
      <c r="O310" s="37"/>
      <c r="P310" s="37"/>
      <c r="Q310" s="27"/>
      <c r="R310" s="27"/>
      <c r="S310" s="27"/>
      <c r="T310" s="27"/>
      <c r="U310" s="27"/>
      <c r="V310" s="27"/>
      <c r="W310" s="27"/>
    </row>
    <row r="311" spans="1:23" ht="15" customHeight="1" x14ac:dyDescent="0.2">
      <c r="A311" s="37"/>
      <c r="B311" s="37"/>
      <c r="C311" s="37"/>
      <c r="D311" s="37"/>
      <c r="E311" s="37"/>
      <c r="F311" s="37"/>
      <c r="G311" s="37"/>
      <c r="H311" s="37"/>
      <c r="I311" s="37"/>
      <c r="J311" s="37"/>
      <c r="K311" s="37"/>
      <c r="L311" s="37"/>
      <c r="M311" s="37"/>
      <c r="N311" s="37"/>
      <c r="O311" s="37"/>
      <c r="P311" s="37"/>
      <c r="Q311" s="27"/>
      <c r="R311" s="27"/>
      <c r="S311" s="27"/>
      <c r="T311" s="27"/>
      <c r="U311" s="27"/>
      <c r="V311" s="27"/>
      <c r="W311" s="27"/>
    </row>
    <row r="312" spans="1:23" ht="15" customHeight="1" x14ac:dyDescent="0.2">
      <c r="A312" s="37"/>
      <c r="B312" s="37"/>
      <c r="C312" s="37"/>
      <c r="D312" s="37"/>
      <c r="E312" s="37"/>
      <c r="F312" s="37"/>
      <c r="G312" s="37"/>
      <c r="H312" s="37"/>
      <c r="I312" s="37"/>
      <c r="J312" s="37"/>
      <c r="K312" s="37"/>
      <c r="L312" s="37"/>
      <c r="M312" s="37"/>
      <c r="N312" s="37"/>
      <c r="O312" s="37"/>
      <c r="P312" s="37"/>
      <c r="Q312" s="27"/>
      <c r="R312" s="27"/>
      <c r="S312" s="27"/>
      <c r="T312" s="27"/>
      <c r="U312" s="27"/>
      <c r="V312" s="27"/>
      <c r="W312" s="27"/>
    </row>
    <row r="313" spans="1:23" ht="15" customHeight="1" x14ac:dyDescent="0.2">
      <c r="A313" s="37"/>
      <c r="B313" s="37"/>
      <c r="C313" s="37"/>
      <c r="D313" s="37"/>
      <c r="E313" s="37"/>
      <c r="F313" s="37"/>
      <c r="G313" s="37"/>
      <c r="H313" s="37"/>
      <c r="I313" s="37"/>
      <c r="J313" s="37"/>
      <c r="K313" s="37"/>
      <c r="L313" s="37"/>
      <c r="M313" s="37"/>
      <c r="N313" s="37"/>
      <c r="O313" s="37"/>
      <c r="P313" s="37"/>
      <c r="Q313" s="27"/>
      <c r="R313" s="27"/>
      <c r="S313" s="27"/>
      <c r="T313" s="27"/>
      <c r="U313" s="27"/>
      <c r="V313" s="27"/>
      <c r="W313" s="27"/>
    </row>
    <row r="314" spans="1:23" ht="15" customHeight="1" x14ac:dyDescent="0.2">
      <c r="A314" s="37"/>
      <c r="B314" s="37"/>
      <c r="C314" s="37"/>
      <c r="D314" s="37"/>
      <c r="E314" s="37"/>
      <c r="F314" s="37"/>
      <c r="G314" s="37"/>
      <c r="H314" s="37"/>
      <c r="I314" s="37"/>
      <c r="J314" s="37"/>
      <c r="K314" s="37"/>
      <c r="L314" s="37"/>
      <c r="M314" s="37"/>
      <c r="N314" s="37"/>
      <c r="O314" s="37"/>
      <c r="P314" s="37"/>
      <c r="Q314" s="27"/>
      <c r="R314" s="27"/>
      <c r="S314" s="27"/>
      <c r="T314" s="27"/>
      <c r="U314" s="27"/>
      <c r="V314" s="27"/>
      <c r="W314" s="27"/>
    </row>
    <row r="315" spans="1:23" ht="15" customHeight="1" x14ac:dyDescent="0.2">
      <c r="A315" s="37"/>
      <c r="B315" s="37"/>
      <c r="C315" s="37"/>
      <c r="D315" s="37"/>
      <c r="E315" s="37"/>
      <c r="F315" s="37"/>
      <c r="G315" s="37"/>
      <c r="H315" s="37"/>
      <c r="I315" s="37"/>
      <c r="J315" s="37"/>
      <c r="K315" s="37"/>
      <c r="L315" s="37"/>
      <c r="M315" s="37"/>
      <c r="N315" s="37"/>
      <c r="O315" s="37"/>
      <c r="P315" s="37"/>
      <c r="Q315" s="27"/>
      <c r="R315" s="27"/>
      <c r="S315" s="27"/>
      <c r="T315" s="27"/>
      <c r="U315" s="27"/>
      <c r="V315" s="27"/>
      <c r="W315" s="27"/>
    </row>
    <row r="316" spans="1:23" ht="15" customHeight="1" x14ac:dyDescent="0.2">
      <c r="A316" s="37"/>
      <c r="B316" s="37"/>
      <c r="C316" s="37"/>
      <c r="D316" s="37"/>
      <c r="E316" s="37"/>
      <c r="F316" s="37"/>
      <c r="G316" s="37"/>
      <c r="H316" s="37"/>
      <c r="I316" s="37"/>
      <c r="J316" s="37"/>
      <c r="K316" s="37"/>
      <c r="L316" s="37"/>
      <c r="M316" s="37"/>
      <c r="N316" s="37"/>
      <c r="O316" s="37"/>
      <c r="P316" s="37"/>
      <c r="Q316" s="27"/>
      <c r="R316" s="27"/>
      <c r="S316" s="27"/>
      <c r="T316" s="27"/>
      <c r="U316" s="27"/>
      <c r="V316" s="27"/>
      <c r="W316" s="27"/>
    </row>
    <row r="317" spans="1:23" ht="15" customHeight="1" x14ac:dyDescent="0.2">
      <c r="A317" s="37"/>
      <c r="B317" s="37"/>
      <c r="C317" s="37"/>
      <c r="D317" s="37"/>
      <c r="E317" s="37"/>
      <c r="F317" s="37"/>
      <c r="G317" s="37"/>
      <c r="H317" s="37"/>
      <c r="I317" s="37"/>
      <c r="J317" s="37"/>
      <c r="K317" s="37"/>
      <c r="L317" s="37"/>
      <c r="M317" s="37"/>
      <c r="N317" s="37"/>
      <c r="O317" s="37"/>
      <c r="P317" s="37"/>
      <c r="Q317" s="27"/>
      <c r="R317" s="27"/>
      <c r="S317" s="27"/>
      <c r="T317" s="27"/>
      <c r="U317" s="27"/>
      <c r="V317" s="27"/>
      <c r="W317" s="27"/>
    </row>
    <row r="318" spans="1:23" ht="15" customHeight="1" x14ac:dyDescent="0.2">
      <c r="A318" s="37"/>
      <c r="B318" s="37"/>
      <c r="C318" s="37"/>
      <c r="D318" s="37"/>
      <c r="E318" s="37"/>
      <c r="F318" s="37"/>
      <c r="G318" s="37"/>
      <c r="H318" s="37"/>
      <c r="I318" s="37"/>
      <c r="J318" s="37"/>
      <c r="K318" s="37"/>
      <c r="L318" s="37"/>
      <c r="M318" s="37"/>
      <c r="N318" s="37"/>
      <c r="O318" s="37"/>
      <c r="P318" s="37"/>
      <c r="Q318" s="27"/>
      <c r="R318" s="27"/>
      <c r="S318" s="27"/>
      <c r="T318" s="27"/>
      <c r="U318" s="27"/>
      <c r="V318" s="27"/>
      <c r="W318" s="27"/>
    </row>
    <row r="319" spans="1:23" ht="15" customHeight="1" x14ac:dyDescent="0.2">
      <c r="A319" s="37"/>
      <c r="B319" s="37"/>
      <c r="C319" s="37"/>
      <c r="D319" s="37"/>
      <c r="E319" s="37"/>
      <c r="F319" s="37"/>
      <c r="G319" s="37"/>
      <c r="H319" s="37"/>
      <c r="I319" s="37"/>
      <c r="J319" s="37"/>
      <c r="K319" s="37"/>
      <c r="L319" s="37"/>
      <c r="M319" s="37"/>
      <c r="N319" s="37"/>
      <c r="O319" s="37"/>
      <c r="P319" s="37"/>
      <c r="Q319" s="27"/>
      <c r="R319" s="27"/>
      <c r="S319" s="27"/>
      <c r="T319" s="27"/>
      <c r="U319" s="27"/>
      <c r="V319" s="27"/>
      <c r="W319" s="27"/>
    </row>
    <row r="320" spans="1:23" ht="15" customHeight="1" x14ac:dyDescent="0.2">
      <c r="A320" s="37"/>
      <c r="B320" s="37"/>
      <c r="C320" s="37"/>
      <c r="D320" s="37"/>
      <c r="E320" s="37"/>
      <c r="F320" s="37"/>
      <c r="G320" s="37"/>
      <c r="H320" s="37"/>
      <c r="I320" s="37"/>
      <c r="J320" s="37"/>
      <c r="K320" s="37"/>
      <c r="L320" s="37"/>
      <c r="M320" s="37"/>
      <c r="N320" s="37"/>
      <c r="O320" s="37"/>
      <c r="P320" s="37"/>
      <c r="Q320" s="27"/>
      <c r="R320" s="27"/>
      <c r="S320" s="27"/>
      <c r="T320" s="27"/>
      <c r="U320" s="27"/>
      <c r="V320" s="27"/>
      <c r="W320" s="27"/>
    </row>
    <row r="321" spans="1:23" ht="15" customHeight="1" x14ac:dyDescent="0.2">
      <c r="A321" s="37"/>
      <c r="B321" s="37"/>
      <c r="C321" s="37"/>
      <c r="D321" s="37"/>
      <c r="E321" s="37"/>
      <c r="F321" s="37"/>
      <c r="G321" s="37"/>
      <c r="H321" s="37"/>
      <c r="I321" s="37"/>
      <c r="J321" s="37"/>
      <c r="K321" s="37"/>
      <c r="L321" s="37"/>
      <c r="M321" s="37"/>
      <c r="N321" s="37"/>
      <c r="O321" s="37"/>
      <c r="P321" s="37"/>
      <c r="Q321" s="27"/>
      <c r="R321" s="27"/>
      <c r="S321" s="27"/>
      <c r="T321" s="27"/>
      <c r="U321" s="27"/>
      <c r="V321" s="27"/>
      <c r="W321" s="27"/>
    </row>
    <row r="322" spans="1:23" ht="15" customHeight="1" x14ac:dyDescent="0.2">
      <c r="A322" s="37"/>
      <c r="B322" s="37"/>
      <c r="C322" s="37"/>
      <c r="D322" s="37"/>
      <c r="E322" s="37"/>
      <c r="F322" s="37"/>
      <c r="G322" s="37"/>
      <c r="H322" s="37"/>
      <c r="I322" s="37"/>
      <c r="J322" s="37"/>
      <c r="K322" s="37"/>
      <c r="L322" s="37"/>
      <c r="M322" s="37"/>
      <c r="N322" s="37"/>
      <c r="O322" s="37"/>
      <c r="P322" s="37"/>
      <c r="Q322" s="27"/>
      <c r="R322" s="27"/>
      <c r="S322" s="27"/>
      <c r="T322" s="27"/>
      <c r="U322" s="27"/>
      <c r="V322" s="27"/>
      <c r="W322" s="27"/>
    </row>
    <row r="323" spans="1:23" ht="15" customHeight="1" x14ac:dyDescent="0.2">
      <c r="A323" s="37"/>
      <c r="B323" s="37"/>
      <c r="C323" s="37"/>
      <c r="D323" s="37"/>
      <c r="E323" s="37"/>
      <c r="F323" s="37"/>
      <c r="G323" s="37"/>
      <c r="H323" s="37"/>
      <c r="I323" s="37"/>
      <c r="J323" s="37"/>
      <c r="K323" s="37"/>
      <c r="L323" s="37"/>
      <c r="M323" s="37"/>
      <c r="N323" s="37"/>
      <c r="O323" s="37"/>
      <c r="P323" s="37"/>
      <c r="Q323" s="27"/>
      <c r="R323" s="27"/>
      <c r="S323" s="27"/>
      <c r="T323" s="27"/>
      <c r="U323" s="27"/>
      <c r="V323" s="27"/>
      <c r="W323" s="27"/>
    </row>
    <row r="324" spans="1:23" ht="15" customHeight="1" x14ac:dyDescent="0.2">
      <c r="A324" s="37"/>
      <c r="B324" s="37"/>
      <c r="C324" s="37"/>
      <c r="D324" s="37"/>
      <c r="E324" s="37"/>
      <c r="F324" s="37"/>
      <c r="G324" s="37"/>
      <c r="H324" s="37"/>
      <c r="I324" s="37"/>
      <c r="J324" s="37"/>
      <c r="K324" s="37"/>
      <c r="L324" s="37"/>
      <c r="M324" s="37"/>
      <c r="N324" s="37"/>
      <c r="O324" s="37"/>
      <c r="P324" s="37"/>
      <c r="Q324" s="27"/>
      <c r="R324" s="27"/>
      <c r="S324" s="27"/>
      <c r="T324" s="27"/>
      <c r="U324" s="27"/>
      <c r="V324" s="27"/>
      <c r="W324" s="27"/>
    </row>
    <row r="325" spans="1:23" ht="15" customHeight="1" x14ac:dyDescent="0.2">
      <c r="A325" s="37"/>
      <c r="B325" s="37"/>
      <c r="C325" s="37"/>
      <c r="D325" s="37"/>
      <c r="E325" s="37"/>
      <c r="F325" s="37"/>
      <c r="G325" s="37"/>
      <c r="H325" s="37"/>
      <c r="I325" s="37"/>
      <c r="J325" s="37"/>
      <c r="K325" s="37"/>
      <c r="L325" s="37"/>
      <c r="M325" s="37"/>
      <c r="N325" s="37"/>
      <c r="O325" s="37"/>
      <c r="P325" s="37"/>
      <c r="Q325" s="27"/>
      <c r="R325" s="27"/>
      <c r="S325" s="27"/>
      <c r="T325" s="27"/>
      <c r="U325" s="27"/>
      <c r="V325" s="27"/>
      <c r="W325" s="27"/>
    </row>
    <row r="326" spans="1:23" ht="15" customHeight="1" x14ac:dyDescent="0.2">
      <c r="A326" s="37"/>
      <c r="B326" s="37"/>
      <c r="C326" s="37"/>
      <c r="D326" s="37"/>
      <c r="E326" s="37"/>
      <c r="F326" s="37"/>
      <c r="G326" s="37"/>
      <c r="H326" s="37"/>
      <c r="I326" s="37"/>
      <c r="J326" s="37"/>
      <c r="K326" s="37"/>
      <c r="L326" s="37"/>
      <c r="M326" s="37"/>
      <c r="N326" s="37"/>
      <c r="O326" s="37"/>
      <c r="P326" s="37"/>
      <c r="Q326" s="27"/>
      <c r="R326" s="27"/>
      <c r="S326" s="27"/>
      <c r="T326" s="27"/>
      <c r="U326" s="27"/>
      <c r="V326" s="27"/>
      <c r="W326" s="27"/>
    </row>
    <row r="327" spans="1:23" ht="15" customHeight="1" x14ac:dyDescent="0.2">
      <c r="A327" s="37"/>
      <c r="B327" s="37"/>
      <c r="C327" s="37"/>
      <c r="D327" s="37"/>
      <c r="E327" s="37"/>
      <c r="F327" s="37"/>
      <c r="G327" s="37"/>
      <c r="H327" s="37"/>
      <c r="I327" s="37"/>
      <c r="J327" s="37"/>
      <c r="K327" s="37"/>
      <c r="L327" s="37"/>
      <c r="M327" s="37"/>
      <c r="N327" s="37"/>
      <c r="O327" s="37"/>
      <c r="P327" s="37"/>
      <c r="Q327" s="27"/>
      <c r="R327" s="27"/>
      <c r="S327" s="27"/>
      <c r="T327" s="27"/>
      <c r="U327" s="27"/>
      <c r="V327" s="27"/>
      <c r="W327" s="27"/>
    </row>
    <row r="328" spans="1:23" ht="15" customHeight="1" x14ac:dyDescent="0.2">
      <c r="A328" s="37"/>
      <c r="B328" s="37"/>
      <c r="C328" s="37"/>
      <c r="D328" s="37"/>
      <c r="E328" s="37"/>
      <c r="F328" s="37"/>
      <c r="G328" s="37"/>
      <c r="H328" s="37"/>
      <c r="I328" s="37"/>
      <c r="J328" s="37"/>
      <c r="K328" s="37"/>
      <c r="L328" s="37"/>
      <c r="M328" s="37"/>
      <c r="N328" s="37"/>
      <c r="O328" s="37"/>
      <c r="P328" s="37"/>
      <c r="Q328" s="27"/>
      <c r="R328" s="27"/>
      <c r="S328" s="27"/>
      <c r="T328" s="27"/>
      <c r="U328" s="27"/>
      <c r="V328" s="27"/>
      <c r="W328" s="27"/>
    </row>
    <row r="329" spans="1:23" ht="15" customHeight="1" x14ac:dyDescent="0.2">
      <c r="A329" s="37"/>
      <c r="B329" s="37"/>
      <c r="C329" s="37"/>
      <c r="D329" s="37"/>
      <c r="E329" s="37"/>
      <c r="F329" s="37"/>
      <c r="G329" s="37"/>
      <c r="H329" s="37"/>
      <c r="I329" s="37"/>
      <c r="J329" s="37"/>
      <c r="K329" s="37"/>
      <c r="L329" s="37"/>
      <c r="M329" s="37"/>
      <c r="N329" s="37"/>
      <c r="O329" s="37"/>
      <c r="P329" s="37"/>
      <c r="Q329" s="27"/>
      <c r="R329" s="27"/>
      <c r="S329" s="27"/>
      <c r="T329" s="27"/>
      <c r="U329" s="27"/>
      <c r="V329" s="27"/>
      <c r="W329" s="27"/>
    </row>
    <row r="330" spans="1:23" ht="15" customHeight="1" x14ac:dyDescent="0.2">
      <c r="A330" s="37"/>
      <c r="B330" s="37"/>
      <c r="C330" s="37"/>
      <c r="D330" s="37"/>
      <c r="E330" s="37"/>
      <c r="F330" s="37"/>
      <c r="G330" s="37"/>
      <c r="H330" s="37"/>
      <c r="I330" s="37"/>
      <c r="J330" s="37"/>
      <c r="K330" s="37"/>
      <c r="L330" s="37"/>
      <c r="M330" s="37"/>
      <c r="N330" s="37"/>
      <c r="O330" s="37"/>
      <c r="P330" s="37"/>
      <c r="Q330" s="27"/>
      <c r="R330" s="27"/>
      <c r="S330" s="27"/>
      <c r="T330" s="27"/>
      <c r="U330" s="27"/>
      <c r="V330" s="27"/>
      <c r="W330" s="27"/>
    </row>
    <row r="331" spans="1:23" ht="15" customHeight="1" x14ac:dyDescent="0.2">
      <c r="A331" s="37"/>
      <c r="B331" s="37"/>
      <c r="C331" s="37"/>
      <c r="D331" s="37"/>
      <c r="E331" s="37"/>
      <c r="F331" s="37"/>
      <c r="G331" s="37"/>
      <c r="H331" s="37"/>
      <c r="I331" s="37"/>
      <c r="J331" s="37"/>
      <c r="K331" s="37"/>
      <c r="L331" s="37"/>
      <c r="M331" s="37"/>
      <c r="N331" s="37"/>
      <c r="O331" s="37"/>
      <c r="P331" s="37"/>
      <c r="Q331" s="27"/>
      <c r="R331" s="27"/>
      <c r="S331" s="27"/>
      <c r="T331" s="27"/>
      <c r="U331" s="27"/>
      <c r="V331" s="27"/>
      <c r="W331" s="27"/>
    </row>
    <row r="332" spans="1:23" ht="15" customHeight="1" x14ac:dyDescent="0.2">
      <c r="A332" s="37"/>
      <c r="B332" s="37"/>
      <c r="C332" s="37"/>
      <c r="D332" s="37"/>
      <c r="E332" s="37"/>
      <c r="F332" s="37"/>
      <c r="G332" s="37"/>
      <c r="H332" s="37"/>
      <c r="I332" s="37"/>
      <c r="J332" s="37"/>
      <c r="K332" s="37"/>
      <c r="L332" s="37"/>
      <c r="M332" s="37"/>
      <c r="N332" s="37"/>
      <c r="O332" s="37"/>
      <c r="P332" s="37"/>
      <c r="Q332" s="27"/>
      <c r="R332" s="27"/>
      <c r="S332" s="27"/>
      <c r="T332" s="27"/>
      <c r="U332" s="27"/>
      <c r="V332" s="27"/>
      <c r="W332" s="27"/>
    </row>
    <row r="333" spans="1:23" ht="15" customHeight="1" x14ac:dyDescent="0.2">
      <c r="A333" s="37"/>
      <c r="B333" s="37"/>
      <c r="C333" s="37"/>
      <c r="D333" s="37"/>
      <c r="E333" s="37"/>
      <c r="F333" s="37"/>
      <c r="G333" s="37"/>
      <c r="H333" s="37"/>
      <c r="I333" s="37"/>
      <c r="J333" s="37"/>
      <c r="K333" s="37"/>
      <c r="L333" s="37"/>
      <c r="M333" s="37"/>
      <c r="N333" s="37"/>
      <c r="O333" s="37"/>
      <c r="P333" s="37"/>
      <c r="Q333" s="27"/>
      <c r="R333" s="27"/>
      <c r="S333" s="27"/>
      <c r="T333" s="27"/>
      <c r="U333" s="27"/>
      <c r="V333" s="27"/>
      <c r="W333" s="27"/>
    </row>
    <row r="334" spans="1:23" ht="15" customHeight="1" x14ac:dyDescent="0.2">
      <c r="A334" s="37"/>
      <c r="B334" s="37"/>
      <c r="C334" s="37"/>
      <c r="D334" s="37"/>
      <c r="E334" s="37"/>
      <c r="F334" s="37"/>
      <c r="G334" s="37"/>
      <c r="H334" s="37"/>
      <c r="I334" s="37"/>
      <c r="J334" s="37"/>
      <c r="K334" s="37"/>
      <c r="L334" s="37"/>
      <c r="M334" s="37"/>
      <c r="N334" s="37"/>
      <c r="O334" s="37"/>
      <c r="P334" s="37"/>
      <c r="Q334" s="27"/>
      <c r="R334" s="27"/>
      <c r="S334" s="27"/>
      <c r="T334" s="27"/>
      <c r="U334" s="27"/>
      <c r="V334" s="27"/>
      <c r="W334" s="27"/>
    </row>
    <row r="335" spans="1:23" ht="15" customHeight="1" x14ac:dyDescent="0.2">
      <c r="A335" s="37"/>
      <c r="B335" s="37"/>
      <c r="C335" s="37"/>
      <c r="D335" s="37"/>
      <c r="E335" s="37"/>
      <c r="F335" s="37"/>
      <c r="G335" s="37"/>
      <c r="H335" s="37"/>
      <c r="I335" s="37"/>
      <c r="J335" s="37"/>
      <c r="K335" s="37"/>
      <c r="L335" s="37"/>
      <c r="M335" s="37"/>
      <c r="N335" s="37"/>
      <c r="O335" s="37"/>
      <c r="P335" s="37"/>
      <c r="Q335" s="27"/>
      <c r="R335" s="27"/>
      <c r="S335" s="27"/>
      <c r="T335" s="27"/>
      <c r="U335" s="27"/>
      <c r="V335" s="27"/>
      <c r="W335" s="27"/>
    </row>
    <row r="336" spans="1:23" ht="15" customHeight="1" x14ac:dyDescent="0.2">
      <c r="A336" s="37"/>
      <c r="B336" s="37"/>
      <c r="C336" s="37"/>
      <c r="D336" s="37"/>
      <c r="E336" s="37"/>
      <c r="F336" s="37"/>
      <c r="G336" s="37"/>
      <c r="H336" s="37"/>
      <c r="I336" s="37"/>
      <c r="J336" s="37"/>
      <c r="K336" s="37"/>
      <c r="L336" s="37"/>
      <c r="M336" s="37"/>
      <c r="N336" s="37"/>
      <c r="O336" s="37"/>
      <c r="P336" s="37"/>
      <c r="Q336" s="27"/>
      <c r="R336" s="27"/>
      <c r="S336" s="27"/>
      <c r="T336" s="27"/>
      <c r="U336" s="27"/>
      <c r="V336" s="27"/>
      <c r="W336" s="27"/>
    </row>
    <row r="337" spans="1:23" ht="15" customHeight="1" x14ac:dyDescent="0.2">
      <c r="A337" s="37"/>
      <c r="B337" s="37"/>
      <c r="C337" s="37"/>
      <c r="D337" s="37"/>
      <c r="E337" s="37"/>
      <c r="F337" s="37"/>
      <c r="G337" s="37"/>
      <c r="H337" s="37"/>
      <c r="I337" s="37"/>
      <c r="J337" s="37"/>
      <c r="K337" s="37"/>
      <c r="L337" s="37"/>
      <c r="M337" s="37"/>
      <c r="N337" s="37"/>
      <c r="O337" s="37"/>
      <c r="P337" s="37"/>
      <c r="Q337" s="27"/>
      <c r="R337" s="27"/>
      <c r="S337" s="27"/>
      <c r="T337" s="27"/>
      <c r="U337" s="27"/>
      <c r="V337" s="27"/>
      <c r="W337" s="27"/>
    </row>
    <row r="338" spans="1:23" ht="15" customHeight="1" x14ac:dyDescent="0.2">
      <c r="A338" s="37"/>
      <c r="B338" s="37"/>
      <c r="C338" s="37"/>
      <c r="D338" s="37"/>
      <c r="E338" s="37"/>
      <c r="F338" s="37"/>
      <c r="G338" s="37"/>
      <c r="H338" s="37"/>
      <c r="I338" s="37"/>
      <c r="J338" s="37"/>
      <c r="K338" s="37"/>
      <c r="L338" s="37"/>
      <c r="M338" s="37"/>
      <c r="N338" s="37"/>
      <c r="O338" s="37"/>
      <c r="P338" s="37"/>
      <c r="Q338" s="27"/>
      <c r="R338" s="27"/>
      <c r="S338" s="27"/>
      <c r="T338" s="27"/>
      <c r="U338" s="27"/>
      <c r="V338" s="27"/>
      <c r="W338" s="27"/>
    </row>
    <row r="339" spans="1:23" ht="15" customHeight="1" x14ac:dyDescent="0.2">
      <c r="A339" s="37"/>
      <c r="B339" s="37"/>
      <c r="C339" s="37"/>
      <c r="D339" s="37"/>
      <c r="E339" s="37"/>
      <c r="F339" s="37"/>
      <c r="G339" s="37"/>
      <c r="H339" s="37"/>
      <c r="I339" s="37"/>
      <c r="J339" s="37"/>
      <c r="K339" s="37"/>
      <c r="L339" s="37"/>
      <c r="M339" s="37"/>
      <c r="N339" s="37"/>
      <c r="O339" s="37"/>
      <c r="P339" s="37"/>
      <c r="Q339" s="27"/>
      <c r="R339" s="27"/>
      <c r="S339" s="27"/>
      <c r="T339" s="27"/>
      <c r="U339" s="27"/>
      <c r="V339" s="27"/>
      <c r="W339" s="27"/>
    </row>
    <row r="340" spans="1:23" ht="15" customHeight="1" x14ac:dyDescent="0.2">
      <c r="A340" s="37"/>
      <c r="B340" s="37"/>
      <c r="C340" s="37"/>
      <c r="D340" s="37"/>
      <c r="E340" s="37"/>
      <c r="F340" s="37"/>
      <c r="G340" s="37"/>
      <c r="H340" s="37"/>
      <c r="I340" s="37"/>
      <c r="J340" s="37"/>
      <c r="K340" s="37"/>
      <c r="L340" s="37"/>
      <c r="M340" s="37"/>
      <c r="N340" s="37"/>
      <c r="O340" s="37"/>
      <c r="P340" s="37"/>
      <c r="Q340" s="27"/>
      <c r="R340" s="27"/>
      <c r="S340" s="27"/>
      <c r="T340" s="27"/>
      <c r="U340" s="27"/>
      <c r="V340" s="27"/>
      <c r="W340" s="27"/>
    </row>
    <row r="341" spans="1:23" ht="15" customHeight="1" x14ac:dyDescent="0.2">
      <c r="A341" s="37"/>
      <c r="B341" s="37"/>
      <c r="C341" s="37"/>
      <c r="D341" s="37"/>
      <c r="E341" s="37"/>
      <c r="F341" s="37"/>
      <c r="G341" s="37"/>
      <c r="H341" s="37"/>
      <c r="I341" s="37"/>
      <c r="J341" s="37"/>
      <c r="K341" s="37"/>
      <c r="L341" s="37"/>
      <c r="M341" s="37"/>
      <c r="N341" s="37"/>
      <c r="O341" s="37"/>
      <c r="P341" s="37"/>
      <c r="Q341" s="27"/>
      <c r="R341" s="27"/>
      <c r="S341" s="27"/>
      <c r="T341" s="27"/>
      <c r="U341" s="27"/>
      <c r="V341" s="27"/>
      <c r="W341" s="27"/>
    </row>
    <row r="342" spans="1:23" ht="15" customHeight="1" x14ac:dyDescent="0.2">
      <c r="A342" s="37"/>
      <c r="B342" s="37"/>
      <c r="C342" s="37"/>
      <c r="D342" s="37"/>
      <c r="E342" s="37"/>
      <c r="F342" s="37"/>
      <c r="G342" s="37"/>
      <c r="H342" s="37"/>
      <c r="I342" s="37"/>
      <c r="J342" s="37"/>
      <c r="K342" s="37"/>
      <c r="L342" s="37"/>
      <c r="M342" s="37"/>
      <c r="N342" s="37"/>
      <c r="O342" s="37"/>
      <c r="P342" s="37"/>
      <c r="Q342" s="27"/>
      <c r="R342" s="27"/>
      <c r="S342" s="27"/>
      <c r="T342" s="27"/>
      <c r="U342" s="27"/>
      <c r="V342" s="27"/>
      <c r="W342" s="27"/>
    </row>
    <row r="343" spans="1:23" ht="15" customHeight="1" x14ac:dyDescent="0.2">
      <c r="A343" s="37"/>
      <c r="B343" s="37"/>
      <c r="C343" s="37"/>
      <c r="D343" s="37"/>
      <c r="E343" s="37"/>
      <c r="F343" s="37"/>
      <c r="G343" s="37"/>
      <c r="H343" s="37"/>
      <c r="I343" s="37"/>
      <c r="J343" s="37"/>
      <c r="K343" s="37"/>
      <c r="L343" s="37"/>
      <c r="M343" s="37"/>
      <c r="N343" s="37"/>
      <c r="O343" s="37"/>
      <c r="P343" s="37"/>
      <c r="Q343" s="27"/>
      <c r="R343" s="27"/>
      <c r="S343" s="27"/>
      <c r="T343" s="27"/>
      <c r="U343" s="27"/>
      <c r="V343" s="27"/>
      <c r="W343" s="27"/>
    </row>
    <row r="344" spans="1:23" ht="15" customHeight="1" x14ac:dyDescent="0.2">
      <c r="A344" s="37"/>
      <c r="B344" s="37"/>
      <c r="C344" s="37"/>
      <c r="D344" s="37"/>
      <c r="E344" s="37"/>
      <c r="F344" s="37"/>
      <c r="G344" s="37"/>
      <c r="H344" s="37"/>
      <c r="I344" s="37"/>
      <c r="J344" s="37"/>
      <c r="K344" s="37"/>
      <c r="L344" s="37"/>
      <c r="M344" s="37"/>
      <c r="N344" s="37"/>
      <c r="O344" s="37"/>
      <c r="P344" s="37"/>
      <c r="Q344" s="27"/>
      <c r="R344" s="27"/>
      <c r="S344" s="27"/>
      <c r="T344" s="27"/>
      <c r="U344" s="27"/>
      <c r="V344" s="27"/>
      <c r="W344" s="27"/>
    </row>
    <row r="345" spans="1:23" ht="15" customHeight="1" x14ac:dyDescent="0.2">
      <c r="A345" s="37"/>
      <c r="B345" s="37"/>
      <c r="C345" s="37"/>
      <c r="D345" s="37"/>
      <c r="E345" s="37"/>
      <c r="F345" s="37"/>
      <c r="G345" s="37"/>
      <c r="H345" s="37"/>
      <c r="I345" s="37"/>
      <c r="J345" s="37"/>
      <c r="K345" s="37"/>
      <c r="L345" s="37"/>
      <c r="M345" s="37"/>
      <c r="N345" s="37"/>
      <c r="O345" s="37"/>
      <c r="P345" s="37"/>
      <c r="Q345" s="27"/>
      <c r="R345" s="27"/>
      <c r="S345" s="27"/>
      <c r="T345" s="27"/>
      <c r="U345" s="27"/>
      <c r="V345" s="27"/>
      <c r="W345" s="27"/>
    </row>
    <row r="346" spans="1:23" ht="15" customHeight="1" x14ac:dyDescent="0.2">
      <c r="A346" s="37"/>
      <c r="B346" s="37"/>
      <c r="C346" s="37"/>
      <c r="D346" s="37"/>
      <c r="E346" s="37"/>
      <c r="F346" s="37"/>
      <c r="G346" s="37"/>
      <c r="H346" s="37"/>
      <c r="I346" s="37"/>
      <c r="J346" s="37"/>
      <c r="K346" s="37"/>
      <c r="L346" s="37"/>
      <c r="M346" s="37"/>
      <c r="N346" s="37"/>
      <c r="O346" s="37"/>
      <c r="P346" s="37"/>
      <c r="Q346" s="27"/>
      <c r="R346" s="27"/>
      <c r="S346" s="27"/>
      <c r="T346" s="27"/>
      <c r="U346" s="27"/>
      <c r="V346" s="27"/>
      <c r="W346" s="27"/>
    </row>
    <row r="347" spans="1:23" ht="15" customHeight="1" x14ac:dyDescent="0.2">
      <c r="A347" s="37"/>
      <c r="B347" s="37"/>
      <c r="C347" s="37"/>
      <c r="D347" s="37"/>
      <c r="E347" s="37"/>
      <c r="F347" s="37"/>
      <c r="G347" s="37"/>
      <c r="H347" s="37"/>
      <c r="I347" s="37"/>
      <c r="J347" s="37"/>
      <c r="K347" s="37"/>
      <c r="L347" s="37"/>
      <c r="M347" s="37"/>
      <c r="N347" s="37"/>
      <c r="O347" s="37"/>
      <c r="P347" s="37"/>
      <c r="Q347" s="27"/>
      <c r="R347" s="27"/>
      <c r="S347" s="27"/>
      <c r="T347" s="27"/>
      <c r="U347" s="27"/>
      <c r="V347" s="27"/>
      <c r="W347" s="27"/>
    </row>
    <row r="348" spans="1:23" ht="15" customHeight="1" x14ac:dyDescent="0.2">
      <c r="A348" s="37"/>
      <c r="B348" s="37"/>
      <c r="C348" s="37"/>
      <c r="D348" s="37"/>
      <c r="E348" s="37"/>
      <c r="F348" s="37"/>
      <c r="G348" s="37"/>
      <c r="H348" s="37"/>
      <c r="I348" s="37"/>
      <c r="J348" s="37"/>
      <c r="K348" s="37"/>
      <c r="L348" s="37"/>
      <c r="M348" s="37"/>
      <c r="N348" s="37"/>
      <c r="O348" s="37"/>
      <c r="P348" s="37"/>
      <c r="Q348" s="27"/>
      <c r="R348" s="27"/>
      <c r="S348" s="27"/>
      <c r="T348" s="27"/>
      <c r="U348" s="27"/>
      <c r="V348" s="27"/>
      <c r="W348" s="27"/>
    </row>
    <row r="349" spans="1:23" ht="15" customHeight="1" x14ac:dyDescent="0.2">
      <c r="A349" s="37"/>
      <c r="B349" s="37"/>
      <c r="C349" s="37"/>
      <c r="D349" s="37"/>
      <c r="E349" s="37"/>
      <c r="F349" s="37"/>
      <c r="G349" s="37"/>
      <c r="H349" s="37"/>
      <c r="I349" s="37"/>
      <c r="J349" s="37"/>
      <c r="K349" s="37"/>
      <c r="L349" s="37"/>
      <c r="M349" s="37"/>
      <c r="N349" s="37"/>
      <c r="O349" s="37"/>
      <c r="P349" s="37"/>
      <c r="Q349" s="27"/>
      <c r="R349" s="27"/>
      <c r="S349" s="27"/>
      <c r="T349" s="27"/>
      <c r="U349" s="27"/>
      <c r="V349" s="27"/>
      <c r="W349" s="27"/>
    </row>
    <row r="350" spans="1:23" ht="15" customHeight="1" x14ac:dyDescent="0.2">
      <c r="A350" s="37"/>
      <c r="B350" s="37"/>
      <c r="C350" s="37"/>
      <c r="D350" s="37"/>
      <c r="E350" s="37"/>
      <c r="F350" s="37"/>
      <c r="G350" s="37"/>
      <c r="H350" s="37"/>
      <c r="I350" s="37"/>
      <c r="J350" s="37"/>
      <c r="K350" s="37"/>
      <c r="L350" s="37"/>
      <c r="M350" s="37"/>
      <c r="N350" s="37"/>
      <c r="O350" s="37"/>
      <c r="P350" s="37"/>
      <c r="Q350" s="27"/>
      <c r="R350" s="27"/>
      <c r="S350" s="27"/>
      <c r="T350" s="27"/>
      <c r="U350" s="27"/>
      <c r="V350" s="27"/>
      <c r="W350" s="27"/>
    </row>
    <row r="351" spans="1:23" ht="15" customHeight="1" x14ac:dyDescent="0.2">
      <c r="A351" s="37"/>
      <c r="B351" s="37"/>
      <c r="C351" s="37"/>
      <c r="D351" s="37"/>
      <c r="E351" s="37"/>
      <c r="F351" s="37"/>
      <c r="G351" s="37"/>
      <c r="H351" s="37"/>
      <c r="I351" s="37"/>
      <c r="J351" s="37"/>
      <c r="K351" s="37"/>
      <c r="L351" s="37"/>
      <c r="M351" s="37"/>
      <c r="N351" s="37"/>
      <c r="O351" s="37"/>
      <c r="P351" s="37"/>
      <c r="Q351" s="27"/>
      <c r="R351" s="27"/>
      <c r="S351" s="27"/>
      <c r="T351" s="27"/>
      <c r="U351" s="27"/>
      <c r="V351" s="27"/>
      <c r="W351" s="27"/>
    </row>
    <row r="352" spans="1:23" ht="15" customHeight="1" x14ac:dyDescent="0.2">
      <c r="A352" s="37"/>
      <c r="B352" s="37"/>
      <c r="C352" s="37"/>
      <c r="D352" s="37"/>
      <c r="E352" s="37"/>
      <c r="F352" s="37"/>
      <c r="G352" s="37"/>
      <c r="H352" s="37"/>
      <c r="I352" s="37"/>
      <c r="J352" s="37"/>
      <c r="K352" s="37"/>
      <c r="L352" s="37"/>
      <c r="M352" s="37"/>
      <c r="N352" s="37"/>
      <c r="O352" s="37"/>
      <c r="P352" s="37"/>
      <c r="Q352" s="27"/>
      <c r="R352" s="27"/>
      <c r="S352" s="27"/>
      <c r="T352" s="27"/>
      <c r="U352" s="27"/>
      <c r="V352" s="27"/>
      <c r="W352" s="27"/>
    </row>
    <row r="353" spans="1:23" ht="15" customHeight="1" x14ac:dyDescent="0.2">
      <c r="A353" s="37"/>
      <c r="B353" s="37"/>
      <c r="C353" s="37"/>
      <c r="D353" s="37"/>
      <c r="E353" s="37"/>
      <c r="F353" s="37"/>
      <c r="G353" s="37"/>
      <c r="H353" s="37"/>
      <c r="I353" s="37"/>
      <c r="J353" s="37"/>
      <c r="K353" s="37"/>
      <c r="L353" s="37"/>
      <c r="M353" s="37"/>
      <c r="N353" s="37"/>
      <c r="O353" s="37"/>
      <c r="P353" s="37"/>
      <c r="Q353" s="27"/>
      <c r="R353" s="27"/>
      <c r="S353" s="27"/>
      <c r="T353" s="27"/>
      <c r="U353" s="27"/>
      <c r="V353" s="27"/>
      <c r="W353" s="27"/>
    </row>
    <row r="354" spans="1:23" ht="15" customHeight="1" x14ac:dyDescent="0.2">
      <c r="A354" s="37"/>
      <c r="B354" s="37"/>
      <c r="C354" s="37"/>
      <c r="D354" s="37"/>
      <c r="E354" s="37"/>
      <c r="F354" s="37"/>
      <c r="G354" s="37"/>
      <c r="H354" s="37"/>
      <c r="I354" s="37"/>
      <c r="J354" s="37"/>
      <c r="K354" s="37"/>
      <c r="L354" s="37"/>
      <c r="M354" s="37"/>
      <c r="N354" s="37"/>
      <c r="O354" s="37"/>
      <c r="P354" s="37"/>
      <c r="Q354" s="27"/>
      <c r="R354" s="27"/>
      <c r="S354" s="27"/>
      <c r="T354" s="27"/>
      <c r="U354" s="27"/>
      <c r="V354" s="27"/>
      <c r="W354" s="27"/>
    </row>
    <row r="355" spans="1:23" ht="15" customHeight="1" x14ac:dyDescent="0.2">
      <c r="A355" s="37"/>
      <c r="B355" s="37"/>
      <c r="C355" s="37"/>
      <c r="D355" s="37"/>
      <c r="E355" s="37"/>
      <c r="F355" s="37"/>
      <c r="G355" s="37"/>
      <c r="H355" s="37"/>
      <c r="I355" s="37"/>
      <c r="J355" s="37"/>
      <c r="K355" s="37"/>
      <c r="L355" s="37"/>
      <c r="M355" s="37"/>
      <c r="N355" s="37"/>
      <c r="O355" s="37"/>
      <c r="P355" s="37"/>
      <c r="Q355" s="27"/>
      <c r="R355" s="27"/>
      <c r="S355" s="27"/>
      <c r="T355" s="27"/>
      <c r="U355" s="27"/>
      <c r="V355" s="27"/>
      <c r="W355" s="27"/>
    </row>
    <row r="356" spans="1:23" ht="15" customHeight="1" x14ac:dyDescent="0.2">
      <c r="A356" s="37"/>
      <c r="B356" s="37"/>
      <c r="C356" s="37"/>
      <c r="D356" s="37"/>
      <c r="E356" s="37"/>
      <c r="F356" s="37"/>
      <c r="G356" s="37"/>
      <c r="H356" s="37"/>
      <c r="I356" s="37"/>
      <c r="J356" s="37"/>
      <c r="K356" s="37"/>
      <c r="L356" s="37"/>
      <c r="M356" s="37"/>
      <c r="N356" s="37"/>
      <c r="O356" s="37"/>
      <c r="P356" s="37"/>
      <c r="Q356" s="27"/>
      <c r="R356" s="27"/>
      <c r="S356" s="27"/>
      <c r="T356" s="27"/>
      <c r="U356" s="27"/>
      <c r="V356" s="27"/>
      <c r="W356" s="27"/>
    </row>
    <row r="357" spans="1:23" ht="15" customHeight="1" x14ac:dyDescent="0.2">
      <c r="A357" s="37"/>
      <c r="B357" s="37"/>
      <c r="C357" s="37"/>
      <c r="D357" s="37"/>
      <c r="E357" s="37"/>
      <c r="F357" s="37"/>
      <c r="G357" s="37"/>
      <c r="H357" s="37"/>
      <c r="I357" s="37"/>
      <c r="J357" s="37"/>
      <c r="K357" s="37"/>
      <c r="L357" s="37"/>
      <c r="M357" s="37"/>
      <c r="N357" s="37"/>
      <c r="O357" s="37"/>
      <c r="P357" s="37"/>
      <c r="Q357" s="27"/>
      <c r="R357" s="27"/>
      <c r="S357" s="27"/>
      <c r="T357" s="27"/>
      <c r="U357" s="27"/>
      <c r="V357" s="27"/>
      <c r="W357" s="27"/>
    </row>
    <row r="358" spans="1:23" ht="15" customHeight="1" x14ac:dyDescent="0.2">
      <c r="A358" s="37"/>
      <c r="B358" s="37"/>
      <c r="C358" s="37"/>
      <c r="D358" s="37"/>
      <c r="E358" s="37"/>
      <c r="F358" s="37"/>
      <c r="G358" s="37"/>
      <c r="H358" s="37"/>
      <c r="I358" s="37"/>
      <c r="J358" s="37"/>
      <c r="K358" s="37"/>
      <c r="L358" s="37"/>
      <c r="M358" s="37"/>
      <c r="N358" s="37"/>
      <c r="O358" s="37"/>
      <c r="P358" s="37"/>
      <c r="Q358" s="27"/>
      <c r="R358" s="27"/>
      <c r="S358" s="27"/>
      <c r="T358" s="27"/>
      <c r="U358" s="27"/>
      <c r="V358" s="27"/>
      <c r="W358" s="27"/>
    </row>
    <row r="359" spans="1:23" ht="15" customHeight="1" x14ac:dyDescent="0.2">
      <c r="A359" s="37"/>
      <c r="B359" s="37"/>
      <c r="C359" s="37"/>
      <c r="D359" s="37"/>
      <c r="E359" s="37"/>
      <c r="F359" s="37"/>
      <c r="G359" s="37"/>
      <c r="H359" s="37"/>
      <c r="I359" s="37"/>
      <c r="J359" s="37"/>
      <c r="K359" s="37"/>
      <c r="L359" s="37"/>
      <c r="M359" s="37"/>
      <c r="N359" s="37"/>
      <c r="O359" s="37"/>
      <c r="P359" s="37"/>
      <c r="Q359" s="27"/>
      <c r="R359" s="27"/>
      <c r="S359" s="27"/>
      <c r="T359" s="27"/>
      <c r="U359" s="27"/>
      <c r="V359" s="27"/>
      <c r="W359" s="27"/>
    </row>
    <row r="360" spans="1:23" ht="15" customHeight="1" x14ac:dyDescent="0.2">
      <c r="A360" s="37"/>
      <c r="B360" s="37"/>
      <c r="C360" s="37"/>
      <c r="D360" s="37"/>
      <c r="E360" s="37"/>
      <c r="F360" s="37"/>
      <c r="G360" s="37"/>
      <c r="H360" s="37"/>
      <c r="I360" s="37"/>
      <c r="J360" s="37"/>
      <c r="K360" s="37"/>
      <c r="L360" s="37"/>
      <c r="M360" s="37"/>
      <c r="N360" s="37"/>
      <c r="O360" s="37"/>
      <c r="P360" s="37"/>
      <c r="Q360" s="27"/>
      <c r="R360" s="27"/>
      <c r="S360" s="27"/>
      <c r="T360" s="27"/>
      <c r="U360" s="27"/>
      <c r="V360" s="27"/>
      <c r="W360" s="27"/>
    </row>
    <row r="361" spans="1:23" ht="15" customHeight="1" x14ac:dyDescent="0.2">
      <c r="A361" s="37"/>
      <c r="B361" s="37"/>
      <c r="C361" s="37"/>
      <c r="D361" s="37"/>
      <c r="E361" s="37"/>
      <c r="F361" s="37"/>
      <c r="G361" s="37"/>
      <c r="H361" s="37"/>
      <c r="I361" s="37"/>
      <c r="J361" s="37"/>
      <c r="K361" s="37"/>
      <c r="L361" s="37"/>
      <c r="M361" s="37"/>
      <c r="N361" s="37"/>
      <c r="O361" s="37"/>
      <c r="P361" s="37"/>
      <c r="Q361" s="27"/>
      <c r="R361" s="27"/>
      <c r="S361" s="27"/>
      <c r="T361" s="27"/>
      <c r="U361" s="27"/>
      <c r="V361" s="27"/>
      <c r="W361" s="27"/>
    </row>
    <row r="362" spans="1:23" ht="15" customHeight="1" x14ac:dyDescent="0.2">
      <c r="A362" s="37"/>
      <c r="B362" s="37"/>
      <c r="C362" s="37"/>
      <c r="D362" s="37"/>
      <c r="E362" s="37"/>
      <c r="F362" s="37"/>
      <c r="G362" s="37"/>
      <c r="H362" s="37"/>
      <c r="I362" s="37"/>
      <c r="J362" s="37"/>
      <c r="K362" s="37"/>
      <c r="L362" s="37"/>
      <c r="M362" s="37"/>
      <c r="N362" s="37"/>
      <c r="O362" s="37"/>
      <c r="P362" s="37"/>
      <c r="Q362" s="27"/>
      <c r="R362" s="27"/>
      <c r="S362" s="27"/>
      <c r="T362" s="27"/>
      <c r="U362" s="27"/>
      <c r="V362" s="27"/>
      <c r="W362" s="27"/>
    </row>
    <row r="363" spans="1:23" ht="15" customHeight="1" x14ac:dyDescent="0.2">
      <c r="A363" s="37"/>
      <c r="B363" s="37"/>
      <c r="C363" s="37"/>
      <c r="D363" s="37"/>
      <c r="E363" s="37"/>
      <c r="F363" s="37"/>
      <c r="G363" s="37"/>
      <c r="H363" s="37"/>
      <c r="I363" s="37"/>
      <c r="J363" s="37"/>
      <c r="K363" s="37"/>
      <c r="L363" s="37"/>
      <c r="M363" s="37"/>
      <c r="N363" s="37"/>
      <c r="O363" s="37"/>
      <c r="P363" s="37"/>
      <c r="Q363" s="27"/>
      <c r="R363" s="27"/>
      <c r="S363" s="27"/>
      <c r="T363" s="27"/>
      <c r="U363" s="27"/>
      <c r="V363" s="27"/>
      <c r="W363" s="27"/>
    </row>
    <row r="364" spans="1:23" ht="15" customHeight="1" x14ac:dyDescent="0.2">
      <c r="A364" s="37"/>
      <c r="B364" s="37"/>
      <c r="C364" s="37"/>
      <c r="D364" s="37"/>
      <c r="E364" s="37"/>
      <c r="F364" s="37"/>
      <c r="G364" s="37"/>
      <c r="H364" s="37"/>
      <c r="I364" s="37"/>
      <c r="J364" s="37"/>
      <c r="K364" s="37"/>
      <c r="L364" s="37"/>
      <c r="M364" s="37"/>
      <c r="N364" s="37"/>
      <c r="O364" s="37"/>
      <c r="P364" s="37"/>
      <c r="Q364" s="27"/>
      <c r="R364" s="27"/>
      <c r="S364" s="27"/>
      <c r="T364" s="27"/>
      <c r="U364" s="27"/>
      <c r="V364" s="27"/>
      <c r="W364" s="27"/>
    </row>
    <row r="365" spans="1:23" ht="15" customHeight="1" x14ac:dyDescent="0.2">
      <c r="A365" s="37"/>
      <c r="B365" s="37"/>
      <c r="C365" s="37"/>
      <c r="D365" s="37"/>
      <c r="E365" s="37"/>
      <c r="F365" s="37"/>
      <c r="G365" s="37"/>
      <c r="H365" s="37"/>
      <c r="I365" s="37"/>
      <c r="J365" s="37"/>
      <c r="K365" s="37"/>
      <c r="L365" s="37"/>
      <c r="M365" s="37"/>
      <c r="N365" s="37"/>
      <c r="O365" s="37"/>
      <c r="P365" s="37"/>
      <c r="Q365" s="27"/>
      <c r="R365" s="27"/>
      <c r="S365" s="27"/>
      <c r="T365" s="27"/>
      <c r="U365" s="27"/>
      <c r="V365" s="27"/>
      <c r="W365" s="27"/>
    </row>
    <row r="366" spans="1:23" ht="15" customHeight="1" x14ac:dyDescent="0.2">
      <c r="A366" s="37"/>
      <c r="B366" s="37"/>
      <c r="C366" s="37"/>
      <c r="D366" s="37"/>
      <c r="E366" s="37"/>
      <c r="F366" s="37"/>
      <c r="G366" s="37"/>
      <c r="H366" s="37"/>
      <c r="I366" s="37"/>
      <c r="J366" s="37"/>
      <c r="K366" s="37"/>
      <c r="L366" s="37"/>
      <c r="M366" s="37"/>
      <c r="N366" s="37"/>
      <c r="O366" s="37"/>
      <c r="P366" s="37"/>
      <c r="Q366" s="27"/>
      <c r="R366" s="27"/>
      <c r="S366" s="27"/>
      <c r="T366" s="27"/>
      <c r="U366" s="27"/>
      <c r="V366" s="27"/>
      <c r="W366" s="27"/>
    </row>
    <row r="367" spans="1:23" ht="15" customHeight="1" x14ac:dyDescent="0.2">
      <c r="A367" s="37"/>
      <c r="B367" s="37"/>
      <c r="C367" s="37"/>
      <c r="D367" s="37"/>
      <c r="E367" s="37"/>
      <c r="F367" s="37"/>
      <c r="G367" s="37"/>
      <c r="H367" s="37"/>
      <c r="I367" s="37"/>
      <c r="J367" s="37"/>
      <c r="K367" s="37"/>
      <c r="L367" s="37"/>
      <c r="M367" s="37"/>
      <c r="N367" s="37"/>
      <c r="O367" s="37"/>
      <c r="P367" s="37"/>
      <c r="Q367" s="27"/>
      <c r="R367" s="27"/>
      <c r="S367" s="27"/>
      <c r="T367" s="27"/>
      <c r="U367" s="27"/>
      <c r="V367" s="27"/>
      <c r="W367" s="27"/>
    </row>
    <row r="368" spans="1:23" ht="15" customHeight="1" x14ac:dyDescent="0.2">
      <c r="A368" s="37"/>
      <c r="B368" s="37"/>
      <c r="C368" s="37"/>
      <c r="D368" s="37"/>
      <c r="E368" s="37"/>
      <c r="F368" s="37"/>
      <c r="G368" s="37"/>
      <c r="H368" s="37"/>
      <c r="I368" s="37"/>
      <c r="J368" s="37"/>
      <c r="K368" s="37"/>
      <c r="L368" s="37"/>
      <c r="M368" s="37"/>
      <c r="N368" s="37"/>
      <c r="O368" s="37"/>
      <c r="P368" s="37"/>
      <c r="Q368" s="27"/>
      <c r="R368" s="27"/>
      <c r="S368" s="27"/>
      <c r="T368" s="27"/>
      <c r="U368" s="27"/>
      <c r="V368" s="27"/>
      <c r="W368" s="27"/>
    </row>
    <row r="369" spans="1:23" ht="15" customHeight="1" x14ac:dyDescent="0.2">
      <c r="A369" s="37"/>
      <c r="B369" s="37"/>
      <c r="C369" s="37"/>
      <c r="D369" s="37"/>
      <c r="E369" s="37"/>
      <c r="F369" s="37"/>
      <c r="G369" s="37"/>
      <c r="H369" s="37"/>
      <c r="I369" s="37"/>
      <c r="J369" s="37"/>
      <c r="K369" s="37"/>
      <c r="L369" s="37"/>
      <c r="M369" s="37"/>
      <c r="N369" s="37"/>
      <c r="O369" s="37"/>
      <c r="P369" s="37"/>
      <c r="Q369" s="27"/>
      <c r="R369" s="27"/>
      <c r="S369" s="27"/>
      <c r="T369" s="27"/>
      <c r="U369" s="27"/>
      <c r="V369" s="27"/>
      <c r="W369" s="27"/>
    </row>
    <row r="370" spans="1:23" ht="15" customHeight="1" x14ac:dyDescent="0.2">
      <c r="A370" s="37"/>
      <c r="B370" s="37"/>
      <c r="C370" s="37"/>
      <c r="D370" s="37"/>
      <c r="E370" s="37"/>
      <c r="F370" s="37"/>
      <c r="G370" s="37"/>
      <c r="H370" s="37"/>
      <c r="I370" s="37"/>
      <c r="J370" s="37"/>
      <c r="K370" s="37"/>
      <c r="L370" s="37"/>
      <c r="M370" s="37"/>
      <c r="N370" s="37"/>
      <c r="O370" s="37"/>
      <c r="P370" s="37"/>
      <c r="Q370" s="27"/>
      <c r="R370" s="27"/>
      <c r="S370" s="27"/>
      <c r="T370" s="27"/>
      <c r="U370" s="27"/>
      <c r="V370" s="27"/>
      <c r="W370" s="27"/>
    </row>
    <row r="371" spans="1:23" ht="15" customHeight="1" x14ac:dyDescent="0.2">
      <c r="A371" s="37"/>
      <c r="B371" s="37"/>
      <c r="C371" s="37"/>
      <c r="D371" s="37"/>
      <c r="E371" s="37"/>
      <c r="F371" s="37"/>
      <c r="G371" s="37"/>
      <c r="H371" s="37"/>
      <c r="I371" s="37"/>
      <c r="J371" s="37"/>
      <c r="K371" s="37"/>
      <c r="L371" s="37"/>
      <c r="M371" s="37"/>
      <c r="N371" s="37"/>
      <c r="O371" s="37"/>
      <c r="P371" s="37"/>
      <c r="Q371" s="27"/>
      <c r="R371" s="27"/>
      <c r="S371" s="27"/>
      <c r="T371" s="27"/>
      <c r="U371" s="27"/>
      <c r="V371" s="27"/>
      <c r="W371" s="27"/>
    </row>
    <row r="372" spans="1:23" ht="15" customHeight="1" x14ac:dyDescent="0.2">
      <c r="A372" s="37"/>
      <c r="B372" s="37"/>
      <c r="C372" s="37"/>
      <c r="D372" s="37"/>
      <c r="E372" s="37"/>
      <c r="F372" s="37"/>
      <c r="G372" s="37"/>
      <c r="H372" s="37"/>
      <c r="I372" s="37"/>
      <c r="J372" s="37"/>
      <c r="K372" s="37"/>
      <c r="L372" s="37"/>
      <c r="M372" s="37"/>
      <c r="N372" s="37"/>
      <c r="O372" s="37"/>
      <c r="P372" s="37"/>
      <c r="Q372" s="27"/>
      <c r="R372" s="27"/>
      <c r="S372" s="27"/>
      <c r="T372" s="27"/>
      <c r="U372" s="27"/>
      <c r="V372" s="27"/>
      <c r="W372" s="27"/>
    </row>
    <row r="373" spans="1:23" ht="15" customHeight="1" x14ac:dyDescent="0.2">
      <c r="A373" s="37"/>
      <c r="B373" s="37"/>
      <c r="C373" s="37"/>
      <c r="D373" s="37"/>
      <c r="E373" s="37"/>
      <c r="F373" s="37"/>
      <c r="G373" s="37"/>
      <c r="H373" s="37"/>
      <c r="I373" s="37"/>
      <c r="J373" s="37"/>
      <c r="K373" s="37"/>
      <c r="L373" s="37"/>
      <c r="M373" s="37"/>
      <c r="N373" s="37"/>
      <c r="O373" s="37"/>
      <c r="P373" s="37"/>
      <c r="Q373" s="27"/>
      <c r="R373" s="27"/>
      <c r="S373" s="27"/>
      <c r="T373" s="27"/>
      <c r="U373" s="27"/>
      <c r="V373" s="27"/>
      <c r="W373" s="27"/>
    </row>
    <row r="374" spans="1:23" ht="15" customHeight="1" x14ac:dyDescent="0.2">
      <c r="A374" s="37"/>
      <c r="B374" s="37"/>
      <c r="C374" s="37"/>
      <c r="D374" s="37"/>
      <c r="E374" s="37"/>
      <c r="F374" s="37"/>
      <c r="G374" s="37"/>
      <c r="H374" s="37"/>
      <c r="I374" s="37"/>
      <c r="J374" s="37"/>
      <c r="K374" s="37"/>
      <c r="L374" s="37"/>
      <c r="M374" s="37"/>
      <c r="N374" s="37"/>
      <c r="O374" s="37"/>
      <c r="P374" s="37"/>
      <c r="Q374" s="27"/>
      <c r="R374" s="27"/>
      <c r="S374" s="27"/>
      <c r="T374" s="27"/>
      <c r="U374" s="27"/>
      <c r="V374" s="27"/>
      <c r="W374" s="27"/>
    </row>
    <row r="375" spans="1:23" ht="15" customHeight="1" x14ac:dyDescent="0.2">
      <c r="A375" s="37"/>
      <c r="B375" s="37"/>
      <c r="C375" s="37"/>
      <c r="D375" s="37"/>
      <c r="E375" s="37"/>
      <c r="F375" s="37"/>
      <c r="G375" s="37"/>
      <c r="H375" s="37"/>
      <c r="I375" s="37"/>
      <c r="J375" s="37"/>
      <c r="K375" s="37"/>
      <c r="L375" s="37"/>
      <c r="M375" s="37"/>
      <c r="N375" s="37"/>
      <c r="O375" s="37"/>
      <c r="P375" s="37"/>
      <c r="Q375" s="27"/>
      <c r="R375" s="27"/>
      <c r="S375" s="27"/>
      <c r="T375" s="27"/>
      <c r="U375" s="27"/>
      <c r="V375" s="27"/>
      <c r="W375" s="27"/>
    </row>
    <row r="376" spans="1:23" ht="15" customHeight="1" x14ac:dyDescent="0.2">
      <c r="A376" s="37"/>
      <c r="B376" s="37"/>
      <c r="C376" s="37"/>
      <c r="D376" s="37"/>
      <c r="E376" s="37"/>
      <c r="F376" s="37"/>
      <c r="G376" s="37"/>
      <c r="H376" s="37"/>
      <c r="I376" s="37"/>
      <c r="J376" s="37"/>
      <c r="K376" s="37"/>
      <c r="L376" s="37"/>
      <c r="M376" s="37"/>
      <c r="N376" s="37"/>
      <c r="O376" s="37"/>
      <c r="P376" s="37"/>
      <c r="Q376" s="27"/>
      <c r="R376" s="27"/>
      <c r="S376" s="27"/>
      <c r="T376" s="27"/>
      <c r="U376" s="27"/>
      <c r="V376" s="27"/>
      <c r="W376" s="27"/>
    </row>
    <row r="377" spans="1:23" ht="15" customHeight="1" x14ac:dyDescent="0.2">
      <c r="A377" s="37"/>
      <c r="B377" s="37"/>
      <c r="C377" s="37"/>
      <c r="D377" s="37"/>
      <c r="E377" s="37"/>
      <c r="F377" s="37"/>
      <c r="G377" s="37"/>
      <c r="H377" s="37"/>
      <c r="I377" s="37"/>
      <c r="J377" s="37"/>
      <c r="K377" s="37"/>
      <c r="L377" s="37"/>
      <c r="M377" s="37"/>
      <c r="N377" s="37"/>
      <c r="O377" s="37"/>
      <c r="P377" s="37"/>
      <c r="Q377" s="27"/>
      <c r="R377" s="27"/>
      <c r="S377" s="27"/>
      <c r="T377" s="27"/>
      <c r="U377" s="27"/>
      <c r="V377" s="27"/>
      <c r="W377" s="27"/>
    </row>
    <row r="378" spans="1:23" ht="15" customHeight="1" x14ac:dyDescent="0.2">
      <c r="A378" s="37"/>
      <c r="B378" s="37"/>
      <c r="C378" s="37"/>
      <c r="D378" s="37"/>
      <c r="E378" s="37"/>
      <c r="F378" s="37"/>
      <c r="G378" s="37"/>
      <c r="H378" s="37"/>
      <c r="I378" s="37"/>
      <c r="J378" s="37"/>
      <c r="K378" s="37"/>
      <c r="L378" s="37"/>
      <c r="M378" s="37"/>
      <c r="N378" s="37"/>
      <c r="O378" s="37"/>
      <c r="P378" s="37"/>
      <c r="Q378" s="27"/>
      <c r="R378" s="27"/>
      <c r="S378" s="27"/>
      <c r="T378" s="27"/>
      <c r="U378" s="27"/>
      <c r="V378" s="27"/>
      <c r="W378" s="27"/>
    </row>
    <row r="379" spans="1:23" ht="15" customHeight="1" x14ac:dyDescent="0.2">
      <c r="A379" s="37"/>
      <c r="B379" s="37"/>
      <c r="C379" s="37"/>
      <c r="D379" s="37"/>
      <c r="E379" s="37"/>
      <c r="F379" s="37"/>
      <c r="G379" s="37"/>
      <c r="H379" s="37"/>
      <c r="I379" s="37"/>
      <c r="J379" s="37"/>
      <c r="K379" s="37"/>
      <c r="L379" s="37"/>
      <c r="M379" s="37"/>
      <c r="N379" s="37"/>
      <c r="O379" s="37"/>
      <c r="P379" s="37"/>
      <c r="Q379" s="27"/>
      <c r="R379" s="27"/>
      <c r="S379" s="27"/>
      <c r="T379" s="27"/>
      <c r="U379" s="27"/>
      <c r="V379" s="27"/>
      <c r="W379" s="27"/>
    </row>
    <row r="380" spans="1:23" ht="15" customHeight="1" x14ac:dyDescent="0.2">
      <c r="A380" s="37"/>
      <c r="B380" s="37"/>
      <c r="C380" s="37"/>
      <c r="D380" s="37"/>
      <c r="E380" s="37"/>
      <c r="F380" s="37"/>
      <c r="G380" s="37"/>
      <c r="H380" s="37"/>
      <c r="I380" s="37"/>
      <c r="J380" s="37"/>
      <c r="K380" s="37"/>
      <c r="L380" s="37"/>
      <c r="M380" s="37"/>
      <c r="N380" s="37"/>
      <c r="O380" s="37"/>
      <c r="P380" s="37"/>
      <c r="Q380" s="27"/>
      <c r="R380" s="27"/>
      <c r="S380" s="27"/>
      <c r="T380" s="27"/>
      <c r="U380" s="27"/>
      <c r="V380" s="27"/>
      <c r="W380" s="27"/>
    </row>
    <row r="381" spans="1:23" ht="15" customHeight="1" x14ac:dyDescent="0.2">
      <c r="A381" s="37"/>
      <c r="B381" s="37"/>
      <c r="C381" s="37"/>
      <c r="D381" s="37"/>
      <c r="E381" s="37"/>
      <c r="F381" s="37"/>
      <c r="G381" s="37"/>
      <c r="H381" s="37"/>
      <c r="I381" s="37"/>
      <c r="J381" s="37"/>
      <c r="K381" s="37"/>
      <c r="L381" s="37"/>
      <c r="M381" s="37"/>
      <c r="N381" s="37"/>
      <c r="O381" s="37"/>
      <c r="P381" s="37"/>
      <c r="Q381" s="27"/>
      <c r="R381" s="27"/>
      <c r="S381" s="27"/>
      <c r="T381" s="27"/>
      <c r="U381" s="27"/>
      <c r="V381" s="27"/>
      <c r="W381" s="27"/>
    </row>
    <row r="382" spans="1:23" ht="15" customHeight="1" x14ac:dyDescent="0.2">
      <c r="A382" s="37"/>
      <c r="B382" s="37"/>
      <c r="C382" s="37"/>
      <c r="D382" s="37"/>
      <c r="E382" s="37"/>
      <c r="F382" s="37"/>
      <c r="G382" s="37"/>
      <c r="H382" s="37"/>
      <c r="I382" s="37"/>
      <c r="J382" s="37"/>
      <c r="K382" s="37"/>
      <c r="L382" s="37"/>
      <c r="M382" s="37"/>
      <c r="N382" s="37"/>
      <c r="O382" s="37"/>
      <c r="P382" s="37"/>
      <c r="Q382" s="27"/>
      <c r="R382" s="27"/>
      <c r="S382" s="27"/>
      <c r="T382" s="27"/>
      <c r="U382" s="27"/>
      <c r="V382" s="27"/>
      <c r="W382" s="27"/>
    </row>
    <row r="383" spans="1:23" ht="15" customHeight="1" x14ac:dyDescent="0.2">
      <c r="A383" s="37"/>
      <c r="B383" s="37"/>
      <c r="C383" s="37"/>
      <c r="D383" s="37"/>
      <c r="E383" s="37"/>
      <c r="F383" s="37"/>
      <c r="G383" s="37"/>
      <c r="H383" s="37"/>
      <c r="I383" s="37"/>
      <c r="J383" s="37"/>
      <c r="K383" s="37"/>
      <c r="L383" s="37"/>
      <c r="M383" s="37"/>
      <c r="N383" s="37"/>
      <c r="O383" s="37"/>
      <c r="P383" s="37"/>
      <c r="Q383" s="27"/>
      <c r="R383" s="27"/>
      <c r="S383" s="27"/>
      <c r="T383" s="27"/>
      <c r="U383" s="27"/>
      <c r="V383" s="27"/>
      <c r="W383" s="27"/>
    </row>
    <row r="384" spans="1:23" ht="15" customHeight="1" x14ac:dyDescent="0.2">
      <c r="A384" s="37"/>
      <c r="B384" s="37"/>
      <c r="C384" s="37"/>
      <c r="D384" s="37"/>
      <c r="E384" s="37"/>
      <c r="F384" s="37"/>
      <c r="G384" s="37"/>
      <c r="H384" s="37"/>
      <c r="I384" s="37"/>
      <c r="J384" s="37"/>
      <c r="K384" s="37"/>
      <c r="L384" s="37"/>
      <c r="M384" s="37"/>
      <c r="N384" s="37"/>
      <c r="O384" s="37"/>
      <c r="P384" s="37"/>
      <c r="Q384" s="27"/>
      <c r="R384" s="27"/>
      <c r="S384" s="27"/>
      <c r="T384" s="27"/>
      <c r="U384" s="27"/>
      <c r="V384" s="27"/>
      <c r="W384" s="27"/>
    </row>
    <row r="385" spans="1:23" ht="15" customHeight="1" x14ac:dyDescent="0.2">
      <c r="A385" s="37"/>
      <c r="B385" s="37"/>
      <c r="C385" s="37"/>
      <c r="D385" s="37"/>
      <c r="E385" s="37"/>
      <c r="F385" s="37"/>
      <c r="G385" s="37"/>
      <c r="H385" s="37"/>
      <c r="I385" s="37"/>
      <c r="J385" s="37"/>
      <c r="K385" s="37"/>
      <c r="L385" s="37"/>
      <c r="M385" s="37"/>
      <c r="N385" s="37"/>
      <c r="O385" s="37"/>
      <c r="P385" s="37"/>
      <c r="Q385" s="27"/>
      <c r="R385" s="27"/>
      <c r="S385" s="27"/>
      <c r="T385" s="27"/>
      <c r="U385" s="27"/>
      <c r="V385" s="27"/>
      <c r="W385" s="27"/>
    </row>
    <row r="386" spans="1:23" ht="15" customHeight="1" x14ac:dyDescent="0.2">
      <c r="A386" s="37"/>
      <c r="B386" s="37"/>
      <c r="C386" s="37"/>
      <c r="D386" s="37"/>
      <c r="E386" s="37"/>
      <c r="F386" s="37"/>
      <c r="G386" s="37"/>
      <c r="H386" s="37"/>
      <c r="I386" s="37"/>
      <c r="J386" s="37"/>
      <c r="K386" s="37"/>
      <c r="L386" s="37"/>
      <c r="M386" s="37"/>
      <c r="N386" s="37"/>
      <c r="O386" s="37"/>
      <c r="P386" s="37"/>
      <c r="Q386" s="27"/>
      <c r="R386" s="27"/>
      <c r="S386" s="27"/>
      <c r="T386" s="27"/>
      <c r="U386" s="27"/>
      <c r="V386" s="27"/>
      <c r="W386" s="27"/>
    </row>
    <row r="387" spans="1:23" ht="15" customHeight="1" x14ac:dyDescent="0.2">
      <c r="A387" s="37"/>
      <c r="B387" s="37"/>
      <c r="C387" s="37"/>
      <c r="D387" s="37"/>
      <c r="E387" s="37"/>
      <c r="F387" s="37"/>
      <c r="G387" s="37"/>
      <c r="H387" s="37"/>
      <c r="I387" s="37"/>
      <c r="J387" s="37"/>
      <c r="K387" s="37"/>
      <c r="L387" s="37"/>
      <c r="M387" s="37"/>
      <c r="N387" s="37"/>
      <c r="O387" s="37"/>
      <c r="P387" s="37"/>
      <c r="Q387" s="27"/>
      <c r="R387" s="27"/>
      <c r="S387" s="27"/>
      <c r="T387" s="27"/>
      <c r="U387" s="27"/>
      <c r="V387" s="27"/>
      <c r="W387" s="27"/>
    </row>
    <row r="388" spans="1:23" ht="15" customHeight="1" x14ac:dyDescent="0.2">
      <c r="A388" s="37"/>
      <c r="B388" s="37"/>
      <c r="C388" s="37"/>
      <c r="D388" s="37"/>
      <c r="E388" s="37"/>
      <c r="F388" s="37"/>
      <c r="G388" s="37"/>
      <c r="H388" s="37"/>
      <c r="I388" s="37"/>
      <c r="J388" s="37"/>
      <c r="K388" s="37"/>
      <c r="L388" s="37"/>
      <c r="M388" s="37"/>
      <c r="N388" s="37"/>
      <c r="O388" s="37"/>
      <c r="P388" s="37"/>
      <c r="Q388" s="27"/>
      <c r="R388" s="27"/>
      <c r="S388" s="27"/>
      <c r="T388" s="27"/>
      <c r="U388" s="27"/>
      <c r="V388" s="27"/>
      <c r="W388" s="27"/>
    </row>
    <row r="389" spans="1:23" ht="15" customHeight="1" x14ac:dyDescent="0.2">
      <c r="A389" s="37"/>
      <c r="B389" s="37"/>
      <c r="C389" s="37"/>
      <c r="D389" s="37"/>
      <c r="E389" s="37"/>
      <c r="F389" s="37"/>
      <c r="G389" s="37"/>
      <c r="H389" s="37"/>
      <c r="I389" s="37"/>
      <c r="J389" s="37"/>
      <c r="K389" s="37"/>
      <c r="L389" s="37"/>
      <c r="M389" s="37"/>
      <c r="N389" s="37"/>
      <c r="O389" s="37"/>
      <c r="P389" s="37"/>
      <c r="Q389" s="27"/>
      <c r="R389" s="27"/>
      <c r="S389" s="27"/>
      <c r="T389" s="27"/>
      <c r="U389" s="27"/>
      <c r="V389" s="27"/>
      <c r="W389" s="27"/>
    </row>
    <row r="390" spans="1:23" ht="15" customHeight="1" x14ac:dyDescent="0.2">
      <c r="A390" s="37"/>
      <c r="B390" s="37"/>
      <c r="C390" s="37"/>
      <c r="D390" s="37"/>
      <c r="E390" s="37"/>
      <c r="F390" s="37"/>
      <c r="G390" s="37"/>
      <c r="H390" s="37"/>
      <c r="I390" s="37"/>
      <c r="J390" s="37"/>
      <c r="K390" s="37"/>
      <c r="L390" s="37"/>
      <c r="M390" s="37"/>
      <c r="N390" s="37"/>
      <c r="O390" s="37"/>
      <c r="P390" s="37"/>
      <c r="Q390" s="27"/>
      <c r="R390" s="27"/>
      <c r="S390" s="27"/>
      <c r="T390" s="27"/>
      <c r="U390" s="27"/>
      <c r="V390" s="27"/>
      <c r="W390" s="27"/>
    </row>
    <row r="391" spans="1:23" ht="15" customHeight="1" x14ac:dyDescent="0.2">
      <c r="A391" s="37"/>
      <c r="B391" s="37"/>
      <c r="C391" s="37"/>
      <c r="D391" s="37"/>
      <c r="E391" s="37"/>
      <c r="F391" s="37"/>
      <c r="G391" s="37"/>
      <c r="H391" s="37"/>
      <c r="I391" s="37"/>
      <c r="J391" s="37"/>
      <c r="K391" s="37"/>
      <c r="L391" s="37"/>
      <c r="M391" s="37"/>
      <c r="N391" s="37"/>
      <c r="O391" s="37"/>
      <c r="P391" s="37"/>
      <c r="Q391" s="27"/>
      <c r="R391" s="27"/>
      <c r="S391" s="27"/>
      <c r="T391" s="27"/>
      <c r="U391" s="27"/>
      <c r="V391" s="27"/>
      <c r="W391" s="27"/>
    </row>
    <row r="392" spans="1:23" ht="15" customHeight="1" x14ac:dyDescent="0.2">
      <c r="A392" s="37"/>
      <c r="B392" s="37"/>
      <c r="C392" s="37"/>
      <c r="D392" s="37"/>
      <c r="E392" s="37"/>
      <c r="F392" s="37"/>
      <c r="G392" s="37"/>
      <c r="H392" s="37"/>
      <c r="I392" s="37"/>
      <c r="J392" s="37"/>
      <c r="K392" s="37"/>
      <c r="L392" s="37"/>
      <c r="M392" s="37"/>
      <c r="N392" s="37"/>
      <c r="O392" s="37"/>
      <c r="P392" s="37"/>
      <c r="Q392" s="27"/>
      <c r="R392" s="27"/>
      <c r="S392" s="27"/>
      <c r="T392" s="27"/>
      <c r="U392" s="27"/>
      <c r="V392" s="27"/>
      <c r="W392" s="27"/>
    </row>
    <row r="393" spans="1:23" ht="15" customHeight="1" x14ac:dyDescent="0.2">
      <c r="A393" s="37"/>
      <c r="B393" s="37"/>
      <c r="C393" s="37"/>
      <c r="D393" s="37"/>
      <c r="E393" s="37"/>
      <c r="F393" s="37"/>
      <c r="G393" s="37"/>
      <c r="H393" s="37"/>
      <c r="I393" s="37"/>
      <c r="J393" s="37"/>
      <c r="K393" s="37"/>
      <c r="L393" s="37"/>
      <c r="M393" s="37"/>
      <c r="N393" s="37"/>
      <c r="O393" s="37"/>
      <c r="P393" s="37"/>
      <c r="Q393" s="27"/>
      <c r="R393" s="27"/>
      <c r="S393" s="27"/>
      <c r="T393" s="27"/>
      <c r="U393" s="27"/>
      <c r="V393" s="27"/>
      <c r="W393" s="27"/>
    </row>
    <row r="394" spans="1:23" ht="15" customHeight="1" x14ac:dyDescent="0.2">
      <c r="A394" s="37"/>
      <c r="B394" s="37"/>
      <c r="C394" s="37"/>
      <c r="D394" s="37"/>
      <c r="E394" s="37"/>
      <c r="F394" s="37"/>
      <c r="G394" s="37"/>
      <c r="H394" s="37"/>
      <c r="I394" s="37"/>
      <c r="J394" s="37"/>
      <c r="K394" s="37"/>
      <c r="L394" s="37"/>
      <c r="M394" s="37"/>
      <c r="N394" s="37"/>
      <c r="O394" s="37"/>
      <c r="P394" s="37"/>
      <c r="Q394" s="27"/>
      <c r="R394" s="27"/>
      <c r="S394" s="27"/>
      <c r="T394" s="27"/>
      <c r="U394" s="27"/>
      <c r="V394" s="27"/>
      <c r="W394" s="27"/>
    </row>
    <row r="395" spans="1:23" ht="15" customHeight="1" x14ac:dyDescent="0.2">
      <c r="A395" s="37"/>
      <c r="B395" s="37"/>
      <c r="C395" s="37"/>
      <c r="D395" s="37"/>
      <c r="E395" s="37"/>
      <c r="F395" s="37"/>
      <c r="G395" s="37"/>
      <c r="H395" s="37"/>
      <c r="I395" s="37"/>
      <c r="J395" s="37"/>
      <c r="K395" s="37"/>
      <c r="L395" s="37"/>
      <c r="M395" s="37"/>
      <c r="N395" s="37"/>
      <c r="O395" s="37"/>
      <c r="P395" s="37"/>
      <c r="Q395" s="27"/>
      <c r="R395" s="27"/>
      <c r="S395" s="27"/>
      <c r="T395" s="27"/>
      <c r="U395" s="27"/>
      <c r="V395" s="27"/>
      <c r="W395" s="27"/>
    </row>
    <row r="396" spans="1:23" ht="15" customHeight="1" x14ac:dyDescent="0.2">
      <c r="A396" s="37"/>
      <c r="B396" s="37"/>
      <c r="C396" s="37"/>
      <c r="D396" s="37"/>
      <c r="E396" s="37"/>
      <c r="F396" s="37"/>
      <c r="G396" s="37"/>
      <c r="H396" s="37"/>
      <c r="I396" s="37"/>
      <c r="J396" s="37"/>
      <c r="K396" s="37"/>
      <c r="L396" s="37"/>
      <c r="M396" s="37"/>
      <c r="N396" s="37"/>
      <c r="O396" s="37"/>
      <c r="P396" s="37"/>
      <c r="Q396" s="27"/>
      <c r="R396" s="27"/>
      <c r="S396" s="27"/>
      <c r="T396" s="27"/>
      <c r="U396" s="27"/>
      <c r="V396" s="27"/>
      <c r="W396" s="27"/>
    </row>
    <row r="397" spans="1:23" ht="15" customHeight="1" x14ac:dyDescent="0.2">
      <c r="A397" s="37"/>
      <c r="B397" s="37"/>
      <c r="C397" s="37"/>
      <c r="D397" s="37"/>
      <c r="E397" s="37"/>
      <c r="F397" s="37"/>
      <c r="G397" s="37"/>
      <c r="H397" s="37"/>
      <c r="I397" s="37"/>
      <c r="J397" s="37"/>
      <c r="K397" s="37"/>
      <c r="L397" s="37"/>
      <c r="M397" s="37"/>
      <c r="N397" s="37"/>
      <c r="O397" s="37"/>
      <c r="P397" s="37"/>
      <c r="Q397" s="27"/>
      <c r="R397" s="27"/>
      <c r="S397" s="27"/>
      <c r="T397" s="27"/>
      <c r="U397" s="27"/>
      <c r="V397" s="27"/>
      <c r="W397" s="27"/>
    </row>
    <row r="398" spans="1:23" ht="15" customHeight="1" x14ac:dyDescent="0.2">
      <c r="A398" s="37"/>
      <c r="B398" s="37"/>
      <c r="C398" s="37"/>
      <c r="D398" s="37"/>
      <c r="E398" s="37"/>
      <c r="F398" s="37"/>
      <c r="G398" s="37"/>
      <c r="H398" s="37"/>
      <c r="I398" s="37"/>
      <c r="J398" s="37"/>
      <c r="K398" s="37"/>
      <c r="L398" s="37"/>
      <c r="M398" s="37"/>
      <c r="N398" s="37"/>
      <c r="O398" s="37"/>
      <c r="P398" s="37"/>
      <c r="Q398" s="27"/>
      <c r="R398" s="27"/>
      <c r="S398" s="27"/>
      <c r="T398" s="27"/>
      <c r="U398" s="27"/>
      <c r="V398" s="27"/>
      <c r="W398" s="27"/>
    </row>
    <row r="399" spans="1:23" ht="15" customHeight="1" x14ac:dyDescent="0.2">
      <c r="A399" s="37"/>
      <c r="B399" s="37"/>
      <c r="C399" s="37"/>
      <c r="D399" s="37"/>
      <c r="E399" s="37"/>
      <c r="F399" s="37"/>
      <c r="G399" s="37"/>
      <c r="H399" s="37"/>
      <c r="I399" s="37"/>
      <c r="J399" s="37"/>
      <c r="K399" s="37"/>
      <c r="L399" s="37"/>
      <c r="M399" s="37"/>
      <c r="N399" s="37"/>
      <c r="O399" s="37"/>
      <c r="P399" s="37"/>
      <c r="Q399" s="27"/>
      <c r="R399" s="27"/>
      <c r="S399" s="27"/>
      <c r="T399" s="27"/>
      <c r="U399" s="27"/>
      <c r="V399" s="27"/>
      <c r="W399" s="27"/>
    </row>
    <row r="400" spans="1:23" ht="15" customHeight="1" x14ac:dyDescent="0.2">
      <c r="A400" s="37"/>
      <c r="B400" s="37"/>
      <c r="C400" s="37"/>
      <c r="D400" s="37"/>
      <c r="E400" s="37"/>
      <c r="F400" s="37"/>
      <c r="G400" s="37"/>
      <c r="H400" s="37"/>
      <c r="I400" s="37"/>
      <c r="J400" s="37"/>
      <c r="K400" s="37"/>
      <c r="L400" s="37"/>
      <c r="M400" s="37"/>
      <c r="N400" s="37"/>
      <c r="O400" s="37"/>
      <c r="P400" s="37"/>
      <c r="Q400" s="27"/>
      <c r="R400" s="27"/>
      <c r="S400" s="27"/>
      <c r="T400" s="27"/>
      <c r="U400" s="27"/>
      <c r="V400" s="27"/>
      <c r="W400" s="27"/>
    </row>
    <row r="401" spans="1:23" ht="15" customHeight="1" x14ac:dyDescent="0.2">
      <c r="A401" s="37"/>
      <c r="B401" s="37"/>
      <c r="C401" s="37"/>
      <c r="D401" s="37"/>
      <c r="E401" s="37"/>
      <c r="F401" s="37"/>
      <c r="G401" s="37"/>
      <c r="H401" s="37"/>
      <c r="I401" s="37"/>
      <c r="J401" s="37"/>
      <c r="K401" s="37"/>
      <c r="L401" s="37"/>
      <c r="M401" s="37"/>
      <c r="N401" s="37"/>
      <c r="O401" s="37"/>
      <c r="P401" s="37"/>
      <c r="Q401" s="27"/>
      <c r="R401" s="27"/>
      <c r="S401" s="27"/>
      <c r="T401" s="27"/>
      <c r="U401" s="27"/>
      <c r="V401" s="27"/>
      <c r="W401" s="27"/>
    </row>
    <row r="402" spans="1:23" ht="15" customHeight="1" x14ac:dyDescent="0.2">
      <c r="A402" s="37"/>
      <c r="B402" s="37"/>
      <c r="C402" s="37"/>
      <c r="D402" s="37"/>
      <c r="E402" s="37"/>
      <c r="F402" s="37"/>
      <c r="G402" s="37"/>
      <c r="H402" s="37"/>
      <c r="I402" s="37"/>
      <c r="J402" s="37"/>
      <c r="K402" s="37"/>
      <c r="L402" s="37"/>
      <c r="M402" s="37"/>
      <c r="N402" s="37"/>
      <c r="O402" s="37"/>
      <c r="P402" s="37"/>
      <c r="Q402" s="27"/>
      <c r="R402" s="27"/>
      <c r="S402" s="27"/>
      <c r="T402" s="27"/>
      <c r="U402" s="27"/>
      <c r="V402" s="27"/>
      <c r="W402" s="27"/>
    </row>
    <row r="403" spans="1:23" ht="15" customHeight="1" x14ac:dyDescent="0.2">
      <c r="A403" s="37"/>
      <c r="B403" s="37"/>
      <c r="C403" s="37"/>
      <c r="D403" s="37"/>
      <c r="E403" s="37"/>
      <c r="F403" s="37"/>
      <c r="G403" s="37"/>
      <c r="H403" s="37"/>
      <c r="I403" s="37"/>
      <c r="J403" s="37"/>
      <c r="K403" s="37"/>
      <c r="L403" s="37"/>
      <c r="M403" s="37"/>
      <c r="N403" s="37"/>
      <c r="O403" s="37"/>
      <c r="P403" s="37"/>
      <c r="Q403" s="27"/>
      <c r="R403" s="27"/>
      <c r="S403" s="27"/>
      <c r="T403" s="27"/>
      <c r="U403" s="27"/>
      <c r="V403" s="27"/>
      <c r="W403" s="27"/>
    </row>
    <row r="404" spans="1:23" ht="15" customHeight="1" x14ac:dyDescent="0.2">
      <c r="A404" s="37"/>
      <c r="B404" s="37"/>
      <c r="C404" s="37"/>
      <c r="D404" s="37"/>
      <c r="E404" s="37"/>
      <c r="F404" s="37"/>
      <c r="G404" s="37"/>
      <c r="H404" s="37"/>
      <c r="I404" s="37"/>
      <c r="J404" s="37"/>
      <c r="K404" s="37"/>
      <c r="L404" s="37"/>
      <c r="M404" s="37"/>
      <c r="N404" s="37"/>
      <c r="O404" s="37"/>
      <c r="P404" s="37"/>
      <c r="Q404" s="27"/>
      <c r="R404" s="27"/>
      <c r="S404" s="27"/>
      <c r="T404" s="27"/>
      <c r="U404" s="27"/>
      <c r="V404" s="27"/>
      <c r="W404" s="27"/>
    </row>
    <row r="405" spans="1:23" ht="15" customHeight="1" x14ac:dyDescent="0.2">
      <c r="A405" s="37"/>
      <c r="B405" s="37"/>
      <c r="C405" s="37"/>
      <c r="D405" s="37"/>
      <c r="E405" s="37"/>
      <c r="F405" s="37"/>
      <c r="G405" s="37"/>
      <c r="H405" s="37"/>
      <c r="I405" s="37"/>
      <c r="J405" s="37"/>
      <c r="K405" s="37"/>
      <c r="L405" s="37"/>
      <c r="M405" s="37"/>
      <c r="N405" s="37"/>
      <c r="O405" s="37"/>
      <c r="P405" s="37"/>
      <c r="Q405" s="27"/>
      <c r="R405" s="27"/>
      <c r="S405" s="27"/>
      <c r="T405" s="27"/>
      <c r="U405" s="27"/>
      <c r="V405" s="27"/>
      <c r="W405" s="27"/>
    </row>
    <row r="406" spans="1:23" ht="15" customHeight="1" x14ac:dyDescent="0.2">
      <c r="A406" s="37"/>
      <c r="B406" s="37"/>
      <c r="C406" s="37"/>
      <c r="D406" s="37"/>
      <c r="E406" s="37"/>
      <c r="F406" s="37"/>
      <c r="G406" s="37"/>
      <c r="H406" s="37"/>
      <c r="I406" s="37"/>
      <c r="J406" s="37"/>
      <c r="K406" s="37"/>
      <c r="L406" s="37"/>
      <c r="M406" s="37"/>
      <c r="N406" s="37"/>
      <c r="O406" s="37"/>
      <c r="P406" s="37"/>
      <c r="Q406" s="27"/>
      <c r="R406" s="27"/>
      <c r="S406" s="27"/>
      <c r="T406" s="27"/>
      <c r="U406" s="27"/>
      <c r="V406" s="27"/>
      <c r="W406" s="27"/>
    </row>
    <row r="407" spans="1:23" ht="15" customHeight="1" x14ac:dyDescent="0.2">
      <c r="A407" s="37"/>
      <c r="B407" s="37"/>
      <c r="C407" s="37"/>
      <c r="D407" s="37"/>
      <c r="E407" s="37"/>
      <c r="F407" s="37"/>
      <c r="G407" s="37"/>
      <c r="H407" s="37"/>
      <c r="I407" s="37"/>
      <c r="J407" s="37"/>
      <c r="K407" s="37"/>
      <c r="L407" s="37"/>
      <c r="M407" s="37"/>
      <c r="N407" s="37"/>
      <c r="O407" s="37"/>
      <c r="P407" s="37"/>
      <c r="Q407" s="27"/>
      <c r="R407" s="27"/>
      <c r="S407" s="27"/>
      <c r="T407" s="27"/>
      <c r="U407" s="27"/>
      <c r="V407" s="27"/>
      <c r="W407" s="27"/>
    </row>
    <row r="408" spans="1:23" ht="15" customHeight="1" x14ac:dyDescent="0.2">
      <c r="A408" s="37"/>
      <c r="B408" s="37"/>
      <c r="C408" s="37"/>
      <c r="D408" s="37"/>
      <c r="E408" s="37"/>
      <c r="F408" s="37"/>
      <c r="G408" s="37"/>
      <c r="H408" s="37"/>
      <c r="I408" s="37"/>
      <c r="J408" s="37"/>
      <c r="K408" s="37"/>
      <c r="L408" s="37"/>
      <c r="M408" s="37"/>
      <c r="N408" s="37"/>
      <c r="O408" s="37"/>
      <c r="P408" s="37"/>
      <c r="Q408" s="27"/>
      <c r="R408" s="27"/>
      <c r="S408" s="27"/>
      <c r="T408" s="27"/>
      <c r="U408" s="27"/>
      <c r="V408" s="27"/>
      <c r="W408" s="27"/>
    </row>
    <row r="409" spans="1:23" ht="15" customHeight="1" x14ac:dyDescent="0.2">
      <c r="A409" s="37"/>
      <c r="B409" s="37"/>
      <c r="C409" s="37"/>
      <c r="D409" s="37"/>
      <c r="E409" s="37"/>
      <c r="F409" s="37"/>
      <c r="G409" s="37"/>
      <c r="H409" s="37"/>
      <c r="I409" s="37"/>
      <c r="J409" s="37"/>
      <c r="K409" s="37"/>
      <c r="L409" s="37"/>
      <c r="M409" s="37"/>
      <c r="N409" s="37"/>
      <c r="O409" s="37"/>
      <c r="P409" s="37"/>
      <c r="Q409" s="27"/>
      <c r="R409" s="27"/>
      <c r="S409" s="27"/>
      <c r="T409" s="27"/>
      <c r="U409" s="27"/>
      <c r="V409" s="27"/>
      <c r="W409" s="27"/>
    </row>
    <row r="410" spans="1:23" ht="15" customHeight="1" x14ac:dyDescent="0.2">
      <c r="A410" s="37"/>
      <c r="B410" s="37"/>
      <c r="C410" s="37"/>
      <c r="D410" s="37"/>
      <c r="E410" s="37"/>
      <c r="F410" s="37"/>
      <c r="G410" s="37"/>
      <c r="H410" s="37"/>
      <c r="I410" s="37"/>
      <c r="J410" s="37"/>
      <c r="K410" s="37"/>
      <c r="L410" s="37"/>
      <c r="M410" s="37"/>
      <c r="N410" s="37"/>
      <c r="O410" s="37"/>
      <c r="P410" s="37"/>
      <c r="Q410" s="27"/>
      <c r="R410" s="27"/>
      <c r="S410" s="27"/>
      <c r="T410" s="27"/>
      <c r="U410" s="27"/>
      <c r="V410" s="27"/>
      <c r="W410" s="27"/>
    </row>
    <row r="411" spans="1:23" ht="15" customHeight="1" x14ac:dyDescent="0.2">
      <c r="A411" s="37"/>
      <c r="B411" s="37"/>
      <c r="C411" s="37"/>
      <c r="D411" s="37"/>
      <c r="E411" s="37"/>
      <c r="F411" s="37"/>
      <c r="G411" s="37"/>
      <c r="H411" s="37"/>
      <c r="I411" s="37"/>
      <c r="J411" s="37"/>
      <c r="K411" s="37"/>
      <c r="L411" s="37"/>
      <c r="M411" s="37"/>
      <c r="N411" s="37"/>
      <c r="O411" s="37"/>
      <c r="P411" s="37"/>
      <c r="Q411" s="27"/>
      <c r="R411" s="27"/>
      <c r="S411" s="27"/>
      <c r="T411" s="27"/>
      <c r="U411" s="27"/>
      <c r="V411" s="27"/>
      <c r="W411" s="27"/>
    </row>
    <row r="412" spans="1:23" ht="15" customHeight="1" x14ac:dyDescent="0.2">
      <c r="A412" s="37"/>
      <c r="B412" s="37"/>
      <c r="C412" s="37"/>
      <c r="D412" s="37"/>
      <c r="E412" s="37"/>
      <c r="F412" s="37"/>
      <c r="G412" s="37"/>
      <c r="H412" s="37"/>
      <c r="I412" s="37"/>
      <c r="J412" s="37"/>
      <c r="K412" s="37"/>
      <c r="L412" s="37"/>
      <c r="M412" s="37"/>
      <c r="N412" s="37"/>
      <c r="O412" s="37"/>
      <c r="P412" s="37"/>
      <c r="Q412" s="27"/>
      <c r="R412" s="27"/>
      <c r="S412" s="27"/>
      <c r="T412" s="27"/>
      <c r="U412" s="27"/>
      <c r="V412" s="27"/>
      <c r="W412" s="27"/>
    </row>
    <row r="413" spans="1:23" ht="15" customHeight="1" x14ac:dyDescent="0.2">
      <c r="A413" s="37"/>
      <c r="B413" s="37"/>
      <c r="C413" s="37"/>
      <c r="D413" s="37"/>
      <c r="E413" s="37"/>
      <c r="F413" s="37"/>
      <c r="G413" s="37"/>
      <c r="H413" s="37"/>
      <c r="I413" s="37"/>
      <c r="J413" s="37"/>
      <c r="K413" s="37"/>
      <c r="L413" s="37"/>
      <c r="M413" s="37"/>
      <c r="N413" s="37"/>
      <c r="O413" s="37"/>
      <c r="P413" s="37"/>
      <c r="Q413" s="27"/>
      <c r="R413" s="27"/>
      <c r="S413" s="27"/>
      <c r="T413" s="27"/>
      <c r="U413" s="27"/>
      <c r="V413" s="27"/>
      <c r="W413" s="27"/>
    </row>
    <row r="414" spans="1:23" ht="15" customHeight="1" x14ac:dyDescent="0.2">
      <c r="A414" s="37"/>
      <c r="B414" s="37"/>
      <c r="C414" s="37"/>
      <c r="D414" s="37"/>
      <c r="E414" s="37"/>
      <c r="F414" s="37"/>
      <c r="G414" s="37"/>
      <c r="H414" s="37"/>
      <c r="I414" s="37"/>
      <c r="J414" s="37"/>
      <c r="K414" s="37"/>
      <c r="L414" s="37"/>
      <c r="M414" s="37"/>
      <c r="N414" s="37"/>
      <c r="O414" s="37"/>
      <c r="P414" s="37"/>
      <c r="Q414" s="27"/>
      <c r="R414" s="27"/>
      <c r="S414" s="27"/>
      <c r="T414" s="27"/>
      <c r="U414" s="27"/>
      <c r="V414" s="27"/>
      <c r="W414" s="27"/>
    </row>
    <row r="415" spans="1:23" ht="15" customHeight="1" x14ac:dyDescent="0.2">
      <c r="A415" s="37"/>
      <c r="B415" s="37"/>
      <c r="C415" s="37"/>
      <c r="D415" s="37"/>
      <c r="E415" s="37"/>
      <c r="F415" s="37"/>
      <c r="G415" s="37"/>
      <c r="H415" s="37"/>
      <c r="I415" s="37"/>
      <c r="J415" s="37"/>
      <c r="K415" s="37"/>
      <c r="L415" s="37"/>
      <c r="M415" s="37"/>
      <c r="N415" s="37"/>
      <c r="O415" s="37"/>
      <c r="P415" s="37"/>
      <c r="Q415" s="27"/>
      <c r="R415" s="27"/>
      <c r="S415" s="27"/>
      <c r="T415" s="27"/>
      <c r="U415" s="27"/>
      <c r="V415" s="27"/>
      <c r="W415" s="27"/>
    </row>
    <row r="416" spans="1:23" ht="15" customHeight="1" x14ac:dyDescent="0.2">
      <c r="A416" s="37"/>
      <c r="B416" s="37"/>
      <c r="C416" s="37"/>
      <c r="D416" s="37"/>
      <c r="E416" s="37"/>
      <c r="F416" s="37"/>
      <c r="G416" s="37"/>
      <c r="H416" s="37"/>
      <c r="I416" s="37"/>
      <c r="J416" s="37"/>
      <c r="K416" s="37"/>
      <c r="L416" s="37"/>
      <c r="M416" s="37"/>
      <c r="N416" s="37"/>
      <c r="O416" s="37"/>
      <c r="P416" s="37"/>
      <c r="Q416" s="27"/>
      <c r="R416" s="27"/>
      <c r="S416" s="27"/>
      <c r="T416" s="27"/>
      <c r="U416" s="27"/>
      <c r="V416" s="27"/>
      <c r="W416" s="27"/>
    </row>
    <row r="417" spans="1:23" ht="15" customHeight="1" x14ac:dyDescent="0.2">
      <c r="A417" s="37"/>
      <c r="B417" s="37"/>
      <c r="C417" s="37"/>
      <c r="D417" s="37"/>
      <c r="E417" s="37"/>
      <c r="F417" s="37"/>
      <c r="G417" s="37"/>
      <c r="H417" s="37"/>
      <c r="I417" s="37"/>
      <c r="J417" s="37"/>
      <c r="K417" s="37"/>
      <c r="L417" s="37"/>
      <c r="M417" s="37"/>
      <c r="N417" s="37"/>
      <c r="O417" s="37"/>
      <c r="P417" s="37"/>
      <c r="Q417" s="27"/>
      <c r="R417" s="27"/>
      <c r="S417" s="27"/>
      <c r="T417" s="27"/>
      <c r="U417" s="27"/>
      <c r="V417" s="27"/>
      <c r="W417" s="27"/>
    </row>
    <row r="418" spans="1:23" ht="15" customHeight="1" x14ac:dyDescent="0.2">
      <c r="A418" s="37"/>
      <c r="B418" s="37"/>
      <c r="C418" s="37"/>
      <c r="D418" s="37"/>
      <c r="E418" s="37"/>
      <c r="F418" s="37"/>
      <c r="G418" s="37"/>
      <c r="H418" s="37"/>
      <c r="I418" s="37"/>
      <c r="J418" s="37"/>
      <c r="K418" s="37"/>
      <c r="L418" s="37"/>
      <c r="M418" s="37"/>
      <c r="N418" s="37"/>
      <c r="O418" s="37"/>
      <c r="P418" s="37"/>
      <c r="Q418" s="27"/>
      <c r="R418" s="27"/>
      <c r="S418" s="27"/>
      <c r="T418" s="27"/>
      <c r="U418" s="27"/>
      <c r="V418" s="27"/>
      <c r="W418" s="27"/>
    </row>
    <row r="419" spans="1:23" ht="15" customHeight="1" x14ac:dyDescent="0.2">
      <c r="A419" s="37"/>
      <c r="B419" s="37"/>
      <c r="C419" s="37"/>
      <c r="D419" s="37"/>
      <c r="E419" s="37"/>
      <c r="F419" s="37"/>
      <c r="G419" s="37"/>
      <c r="H419" s="37"/>
      <c r="I419" s="37"/>
      <c r="J419" s="37"/>
      <c r="K419" s="37"/>
      <c r="L419" s="37"/>
      <c r="M419" s="37"/>
      <c r="N419" s="37"/>
      <c r="O419" s="37"/>
      <c r="P419" s="37"/>
      <c r="Q419" s="27"/>
      <c r="R419" s="27"/>
      <c r="S419" s="27"/>
      <c r="T419" s="27"/>
      <c r="U419" s="27"/>
      <c r="V419" s="27"/>
      <c r="W419" s="27"/>
    </row>
    <row r="420" spans="1:23" ht="15" customHeight="1" x14ac:dyDescent="0.2">
      <c r="A420" s="37"/>
      <c r="B420" s="37"/>
      <c r="C420" s="37"/>
      <c r="D420" s="37"/>
      <c r="E420" s="37"/>
      <c r="F420" s="37"/>
      <c r="G420" s="37"/>
      <c r="H420" s="37"/>
      <c r="I420" s="37"/>
      <c r="J420" s="37"/>
      <c r="K420" s="37"/>
      <c r="L420" s="37"/>
      <c r="M420" s="37"/>
      <c r="N420" s="37"/>
      <c r="O420" s="37"/>
      <c r="P420" s="37"/>
      <c r="Q420" s="27"/>
      <c r="R420" s="27"/>
      <c r="S420" s="27"/>
      <c r="T420" s="27"/>
      <c r="U420" s="27"/>
      <c r="V420" s="27"/>
      <c r="W420" s="27"/>
    </row>
    <row r="421" spans="1:23" ht="15" customHeight="1" x14ac:dyDescent="0.2">
      <c r="A421" s="37"/>
      <c r="B421" s="37"/>
      <c r="C421" s="37"/>
      <c r="D421" s="37"/>
      <c r="E421" s="37"/>
      <c r="F421" s="37"/>
      <c r="G421" s="37"/>
      <c r="H421" s="37"/>
      <c r="I421" s="37"/>
      <c r="J421" s="37"/>
      <c r="K421" s="37"/>
      <c r="L421" s="37"/>
      <c r="M421" s="37"/>
      <c r="N421" s="37"/>
      <c r="O421" s="37"/>
      <c r="P421" s="37"/>
      <c r="Q421" s="27"/>
      <c r="R421" s="27"/>
      <c r="S421" s="27"/>
      <c r="T421" s="27"/>
      <c r="U421" s="27"/>
      <c r="V421" s="27"/>
      <c r="W421" s="27"/>
    </row>
    <row r="422" spans="1:23" ht="15" customHeight="1" x14ac:dyDescent="0.2">
      <c r="A422" s="37"/>
      <c r="B422" s="37"/>
      <c r="C422" s="37"/>
      <c r="D422" s="37"/>
      <c r="E422" s="37"/>
      <c r="F422" s="37"/>
      <c r="G422" s="37"/>
      <c r="H422" s="37"/>
      <c r="I422" s="37"/>
      <c r="J422" s="37"/>
      <c r="K422" s="37"/>
      <c r="L422" s="37"/>
      <c r="M422" s="37"/>
      <c r="N422" s="37"/>
      <c r="O422" s="37"/>
      <c r="P422" s="37"/>
      <c r="Q422" s="27"/>
      <c r="R422" s="27"/>
      <c r="S422" s="27"/>
      <c r="T422" s="27"/>
      <c r="U422" s="27"/>
      <c r="V422" s="27"/>
      <c r="W422" s="27"/>
    </row>
    <row r="423" spans="1:23" ht="15" customHeight="1" x14ac:dyDescent="0.2">
      <c r="A423" s="37"/>
      <c r="B423" s="37"/>
      <c r="C423" s="37"/>
      <c r="D423" s="37"/>
      <c r="E423" s="37"/>
      <c r="F423" s="37"/>
      <c r="G423" s="37"/>
      <c r="H423" s="37"/>
      <c r="I423" s="37"/>
      <c r="J423" s="37"/>
      <c r="K423" s="37"/>
      <c r="L423" s="37"/>
      <c r="M423" s="37"/>
      <c r="N423" s="37"/>
      <c r="O423" s="37"/>
      <c r="P423" s="37"/>
      <c r="Q423" s="27"/>
      <c r="R423" s="27"/>
      <c r="S423" s="27"/>
      <c r="T423" s="27"/>
      <c r="U423" s="27"/>
      <c r="V423" s="27"/>
      <c r="W423" s="27"/>
    </row>
    <row r="424" spans="1:23" ht="15" customHeight="1" x14ac:dyDescent="0.2">
      <c r="A424" s="37"/>
      <c r="B424" s="37"/>
      <c r="C424" s="37"/>
      <c r="D424" s="37"/>
      <c r="E424" s="37"/>
      <c r="F424" s="37"/>
      <c r="G424" s="37"/>
      <c r="H424" s="37"/>
      <c r="I424" s="37"/>
      <c r="J424" s="37"/>
      <c r="K424" s="37"/>
      <c r="L424" s="37"/>
      <c r="M424" s="37"/>
      <c r="N424" s="37"/>
      <c r="O424" s="37"/>
      <c r="P424" s="37"/>
      <c r="Q424" s="27"/>
      <c r="R424" s="27"/>
      <c r="S424" s="27"/>
      <c r="T424" s="27"/>
      <c r="U424" s="27"/>
      <c r="V424" s="27"/>
      <c r="W424" s="27"/>
    </row>
    <row r="425" spans="1:23" ht="15" customHeight="1" x14ac:dyDescent="0.2">
      <c r="A425" s="37"/>
      <c r="B425" s="37"/>
      <c r="C425" s="37"/>
      <c r="D425" s="37"/>
      <c r="E425" s="37"/>
      <c r="F425" s="37"/>
      <c r="G425" s="37"/>
      <c r="H425" s="37"/>
      <c r="I425" s="37"/>
      <c r="J425" s="37"/>
      <c r="K425" s="37"/>
      <c r="L425" s="37"/>
      <c r="M425" s="37"/>
      <c r="N425" s="37"/>
      <c r="O425" s="37"/>
      <c r="P425" s="37"/>
      <c r="Q425" s="27"/>
      <c r="R425" s="27"/>
      <c r="S425" s="27"/>
      <c r="T425" s="27"/>
      <c r="U425" s="27"/>
      <c r="V425" s="27"/>
      <c r="W425" s="27"/>
    </row>
    <row r="426" spans="1:23" ht="15" customHeight="1" x14ac:dyDescent="0.2">
      <c r="A426" s="37"/>
      <c r="B426" s="37"/>
      <c r="C426" s="37"/>
      <c r="D426" s="37"/>
      <c r="E426" s="37"/>
      <c r="F426" s="37"/>
      <c r="G426" s="37"/>
      <c r="H426" s="37"/>
      <c r="I426" s="37"/>
      <c r="J426" s="37"/>
      <c r="K426" s="37"/>
      <c r="L426" s="37"/>
      <c r="M426" s="37"/>
      <c r="N426" s="37"/>
      <c r="O426" s="37"/>
      <c r="P426" s="37"/>
      <c r="Q426" s="27"/>
      <c r="R426" s="27"/>
      <c r="S426" s="27"/>
      <c r="T426" s="27"/>
      <c r="U426" s="27"/>
      <c r="V426" s="27"/>
      <c r="W426" s="27"/>
    </row>
    <row r="427" spans="1:23" ht="15" customHeight="1" x14ac:dyDescent="0.2">
      <c r="A427" s="37"/>
      <c r="B427" s="37"/>
      <c r="C427" s="37"/>
      <c r="D427" s="37"/>
      <c r="E427" s="37"/>
      <c r="F427" s="37"/>
      <c r="G427" s="37"/>
      <c r="H427" s="37"/>
      <c r="I427" s="37"/>
      <c r="J427" s="37"/>
      <c r="K427" s="37"/>
      <c r="L427" s="37"/>
      <c r="M427" s="37"/>
      <c r="N427" s="37"/>
      <c r="O427" s="37"/>
      <c r="P427" s="37"/>
      <c r="Q427" s="27"/>
      <c r="R427" s="27"/>
      <c r="S427" s="27"/>
      <c r="T427" s="27"/>
      <c r="U427" s="27"/>
      <c r="V427" s="27"/>
      <c r="W427" s="27"/>
    </row>
    <row r="428" spans="1:23" ht="15" customHeight="1" x14ac:dyDescent="0.2">
      <c r="A428" s="37"/>
      <c r="B428" s="37"/>
      <c r="C428" s="37"/>
      <c r="D428" s="37"/>
      <c r="E428" s="37"/>
      <c r="F428" s="37"/>
      <c r="G428" s="37"/>
      <c r="H428" s="37"/>
      <c r="I428" s="37"/>
      <c r="J428" s="37"/>
      <c r="K428" s="37"/>
      <c r="L428" s="37"/>
      <c r="M428" s="37"/>
      <c r="N428" s="37"/>
      <c r="O428" s="37"/>
      <c r="P428" s="37"/>
      <c r="Q428" s="27"/>
      <c r="R428" s="27"/>
      <c r="S428" s="27"/>
      <c r="T428" s="27"/>
      <c r="U428" s="27"/>
      <c r="V428" s="27"/>
      <c r="W428" s="27"/>
    </row>
    <row r="429" spans="1:23" ht="15" customHeight="1" x14ac:dyDescent="0.2">
      <c r="A429" s="37"/>
      <c r="B429" s="37"/>
      <c r="C429" s="37"/>
      <c r="D429" s="37"/>
      <c r="E429" s="37"/>
      <c r="F429" s="37"/>
      <c r="G429" s="37"/>
      <c r="H429" s="37"/>
      <c r="I429" s="37"/>
      <c r="J429" s="37"/>
      <c r="K429" s="37"/>
      <c r="L429" s="37"/>
      <c r="M429" s="37"/>
      <c r="N429" s="37"/>
      <c r="O429" s="37"/>
      <c r="P429" s="37"/>
      <c r="Q429" s="27"/>
      <c r="R429" s="27"/>
      <c r="S429" s="27"/>
      <c r="T429" s="27"/>
      <c r="U429" s="27"/>
      <c r="V429" s="27"/>
      <c r="W429" s="27"/>
    </row>
    <row r="430" spans="1:23" ht="15" customHeight="1" x14ac:dyDescent="0.2">
      <c r="A430" s="37"/>
      <c r="B430" s="37"/>
      <c r="C430" s="37"/>
      <c r="D430" s="37"/>
      <c r="E430" s="37"/>
      <c r="F430" s="37"/>
      <c r="G430" s="37"/>
      <c r="H430" s="37"/>
      <c r="I430" s="37"/>
      <c r="J430" s="37"/>
      <c r="K430" s="37"/>
      <c r="L430" s="37"/>
      <c r="M430" s="37"/>
      <c r="N430" s="37"/>
      <c r="O430" s="37"/>
      <c r="P430" s="37"/>
      <c r="Q430" s="27"/>
      <c r="R430" s="27"/>
      <c r="S430" s="27"/>
      <c r="T430" s="27"/>
      <c r="U430" s="27"/>
      <c r="V430" s="27"/>
      <c r="W430" s="27"/>
    </row>
    <row r="431" spans="1:23" ht="15" customHeight="1" x14ac:dyDescent="0.2">
      <c r="A431" s="37"/>
      <c r="B431" s="37"/>
      <c r="C431" s="37"/>
      <c r="D431" s="37"/>
      <c r="E431" s="37"/>
      <c r="F431" s="37"/>
      <c r="G431" s="37"/>
      <c r="H431" s="37"/>
      <c r="I431" s="37"/>
      <c r="J431" s="37"/>
      <c r="K431" s="37"/>
      <c r="L431" s="37"/>
      <c r="M431" s="37"/>
      <c r="N431" s="37"/>
      <c r="O431" s="37"/>
      <c r="P431" s="37"/>
      <c r="Q431" s="27"/>
      <c r="R431" s="27"/>
      <c r="S431" s="27"/>
      <c r="T431" s="27"/>
      <c r="U431" s="27"/>
      <c r="V431" s="27"/>
      <c r="W431" s="27"/>
    </row>
    <row r="432" spans="1:23" ht="15" customHeight="1" x14ac:dyDescent="0.2">
      <c r="A432" s="37"/>
      <c r="B432" s="37"/>
      <c r="C432" s="37"/>
      <c r="D432" s="37"/>
      <c r="E432" s="37"/>
      <c r="F432" s="37"/>
      <c r="G432" s="37"/>
      <c r="H432" s="37"/>
      <c r="I432" s="37"/>
      <c r="J432" s="37"/>
      <c r="K432" s="37"/>
      <c r="L432" s="37"/>
      <c r="M432" s="37"/>
      <c r="N432" s="37"/>
      <c r="O432" s="37"/>
      <c r="P432" s="37"/>
      <c r="Q432" s="27"/>
      <c r="R432" s="27"/>
      <c r="S432" s="27"/>
      <c r="T432" s="27"/>
      <c r="U432" s="27"/>
      <c r="V432" s="27"/>
      <c r="W432" s="27"/>
    </row>
    <row r="433" spans="1:23" ht="15" customHeight="1" x14ac:dyDescent="0.2">
      <c r="A433" s="37"/>
      <c r="B433" s="37"/>
      <c r="C433" s="37"/>
      <c r="D433" s="37"/>
      <c r="E433" s="37"/>
      <c r="F433" s="37"/>
      <c r="G433" s="37"/>
      <c r="H433" s="37"/>
      <c r="I433" s="37"/>
      <c r="J433" s="37"/>
      <c r="K433" s="37"/>
      <c r="L433" s="37"/>
      <c r="M433" s="37"/>
      <c r="N433" s="37"/>
      <c r="O433" s="37"/>
      <c r="P433" s="37"/>
      <c r="Q433" s="27"/>
      <c r="R433" s="27"/>
      <c r="S433" s="27"/>
      <c r="T433" s="27"/>
      <c r="U433" s="27"/>
      <c r="V433" s="27"/>
      <c r="W433" s="27"/>
    </row>
    <row r="434" spans="1:23" ht="15" customHeight="1" x14ac:dyDescent="0.2">
      <c r="A434" s="37"/>
      <c r="B434" s="37"/>
      <c r="C434" s="37"/>
      <c r="D434" s="37"/>
      <c r="E434" s="37"/>
      <c r="F434" s="37"/>
      <c r="G434" s="37"/>
      <c r="H434" s="37"/>
      <c r="I434" s="37"/>
      <c r="J434" s="37"/>
      <c r="K434" s="37"/>
      <c r="L434" s="37"/>
      <c r="M434" s="37"/>
      <c r="N434" s="37"/>
      <c r="O434" s="37"/>
      <c r="P434" s="37"/>
      <c r="Q434" s="27"/>
      <c r="R434" s="27"/>
      <c r="S434" s="27"/>
      <c r="T434" s="27"/>
      <c r="U434" s="27"/>
      <c r="V434" s="27"/>
      <c r="W434" s="27"/>
    </row>
    <row r="435" spans="1:23" ht="15" customHeight="1" x14ac:dyDescent="0.2">
      <c r="A435" s="37"/>
      <c r="B435" s="37"/>
      <c r="C435" s="37"/>
      <c r="D435" s="37"/>
      <c r="E435" s="37"/>
      <c r="F435" s="37"/>
      <c r="G435" s="37"/>
      <c r="H435" s="37"/>
      <c r="I435" s="37"/>
      <c r="J435" s="37"/>
      <c r="K435" s="37"/>
      <c r="L435" s="37"/>
      <c r="M435" s="37"/>
      <c r="N435" s="37"/>
      <c r="O435" s="37"/>
      <c r="P435" s="37"/>
      <c r="Q435" s="27"/>
      <c r="R435" s="27"/>
      <c r="S435" s="27"/>
      <c r="T435" s="27"/>
      <c r="U435" s="27"/>
      <c r="V435" s="27"/>
      <c r="W435" s="27"/>
    </row>
    <row r="436" spans="1:23" ht="15" customHeight="1" x14ac:dyDescent="0.2">
      <c r="A436" s="37"/>
      <c r="B436" s="37"/>
      <c r="C436" s="37"/>
      <c r="D436" s="37"/>
      <c r="E436" s="37"/>
      <c r="F436" s="37"/>
      <c r="G436" s="37"/>
      <c r="H436" s="37"/>
      <c r="I436" s="37"/>
      <c r="J436" s="37"/>
      <c r="K436" s="37"/>
      <c r="L436" s="37"/>
      <c r="M436" s="37"/>
      <c r="N436" s="37"/>
      <c r="O436" s="37"/>
      <c r="P436" s="37"/>
      <c r="Q436" s="27"/>
      <c r="R436" s="27"/>
      <c r="S436" s="27"/>
      <c r="T436" s="27"/>
      <c r="U436" s="27"/>
      <c r="V436" s="27"/>
      <c r="W436" s="27"/>
    </row>
    <row r="437" spans="1:23" ht="15" customHeight="1" x14ac:dyDescent="0.2">
      <c r="A437" s="37"/>
      <c r="B437" s="37"/>
      <c r="C437" s="37"/>
      <c r="D437" s="37"/>
      <c r="E437" s="37"/>
      <c r="F437" s="37"/>
      <c r="G437" s="37"/>
      <c r="H437" s="37"/>
      <c r="I437" s="37"/>
      <c r="J437" s="37"/>
      <c r="K437" s="37"/>
      <c r="L437" s="37"/>
      <c r="M437" s="37"/>
      <c r="N437" s="37"/>
      <c r="O437" s="37"/>
      <c r="P437" s="37"/>
      <c r="Q437" s="27"/>
      <c r="R437" s="27"/>
      <c r="S437" s="27"/>
      <c r="T437" s="27"/>
      <c r="U437" s="27"/>
      <c r="V437" s="27"/>
      <c r="W437" s="27"/>
    </row>
    <row r="438" spans="1:23" ht="15" customHeight="1" x14ac:dyDescent="0.2">
      <c r="A438" s="37"/>
      <c r="B438" s="37"/>
      <c r="C438" s="37"/>
      <c r="D438" s="37"/>
      <c r="E438" s="37"/>
      <c r="F438" s="37"/>
      <c r="G438" s="37"/>
      <c r="H438" s="37"/>
      <c r="I438" s="37"/>
      <c r="J438" s="37"/>
      <c r="K438" s="37"/>
      <c r="L438" s="37"/>
      <c r="M438" s="37"/>
      <c r="N438" s="37"/>
      <c r="O438" s="37"/>
      <c r="P438" s="37"/>
      <c r="Q438" s="27"/>
      <c r="R438" s="27"/>
      <c r="S438" s="27"/>
      <c r="T438" s="27"/>
      <c r="U438" s="27"/>
      <c r="V438" s="27"/>
      <c r="W438" s="27"/>
    </row>
    <row r="439" spans="1:23" ht="15" customHeight="1" x14ac:dyDescent="0.2">
      <c r="A439" s="37"/>
      <c r="B439" s="37"/>
      <c r="C439" s="37"/>
      <c r="D439" s="37"/>
      <c r="E439" s="37"/>
      <c r="F439" s="37"/>
      <c r="G439" s="37"/>
      <c r="H439" s="37"/>
      <c r="I439" s="37"/>
      <c r="J439" s="37"/>
      <c r="K439" s="37"/>
      <c r="L439" s="37"/>
      <c r="M439" s="37"/>
      <c r="N439" s="37"/>
      <c r="O439" s="37"/>
      <c r="P439" s="37"/>
      <c r="Q439" s="27"/>
      <c r="R439" s="27"/>
      <c r="S439" s="27"/>
      <c r="T439" s="27"/>
      <c r="U439" s="27"/>
      <c r="V439" s="27"/>
      <c r="W439" s="27"/>
    </row>
    <row r="440" spans="1:23" ht="15" customHeight="1" x14ac:dyDescent="0.2">
      <c r="A440" s="37"/>
      <c r="B440" s="37"/>
      <c r="C440" s="37"/>
      <c r="D440" s="37"/>
      <c r="E440" s="37"/>
      <c r="F440" s="37"/>
      <c r="G440" s="37"/>
      <c r="H440" s="37"/>
      <c r="I440" s="37"/>
      <c r="J440" s="37"/>
      <c r="K440" s="37"/>
      <c r="L440" s="37"/>
      <c r="M440" s="37"/>
      <c r="N440" s="37"/>
      <c r="O440" s="37"/>
      <c r="P440" s="37"/>
      <c r="Q440" s="27"/>
      <c r="R440" s="27"/>
      <c r="S440" s="27"/>
      <c r="T440" s="27"/>
      <c r="U440" s="27"/>
      <c r="V440" s="27"/>
      <c r="W440" s="27"/>
    </row>
    <row r="441" spans="1:23" ht="15" customHeight="1" x14ac:dyDescent="0.2">
      <c r="A441" s="37"/>
      <c r="B441" s="37"/>
      <c r="C441" s="37"/>
      <c r="D441" s="37"/>
      <c r="E441" s="37"/>
      <c r="F441" s="37"/>
      <c r="G441" s="37"/>
      <c r="H441" s="37"/>
      <c r="I441" s="37"/>
      <c r="J441" s="37"/>
      <c r="K441" s="37"/>
      <c r="L441" s="37"/>
      <c r="M441" s="37"/>
      <c r="N441" s="37"/>
      <c r="O441" s="37"/>
      <c r="P441" s="37"/>
      <c r="Q441" s="27"/>
      <c r="R441" s="27"/>
      <c r="S441" s="27"/>
      <c r="T441" s="27"/>
      <c r="U441" s="27"/>
      <c r="V441" s="27"/>
      <c r="W441" s="27"/>
    </row>
    <row r="442" spans="1:23" ht="15" customHeight="1" x14ac:dyDescent="0.2">
      <c r="A442" s="37"/>
      <c r="B442" s="37"/>
      <c r="C442" s="37"/>
      <c r="D442" s="37"/>
      <c r="E442" s="37"/>
      <c r="F442" s="37"/>
      <c r="G442" s="37"/>
      <c r="H442" s="37"/>
      <c r="I442" s="37"/>
      <c r="J442" s="37"/>
      <c r="K442" s="37"/>
      <c r="L442" s="37"/>
      <c r="M442" s="37"/>
      <c r="N442" s="37"/>
      <c r="O442" s="37"/>
      <c r="P442" s="37"/>
      <c r="Q442" s="27"/>
      <c r="R442" s="27"/>
      <c r="S442" s="27"/>
      <c r="T442" s="27"/>
      <c r="U442" s="27"/>
      <c r="V442" s="27"/>
      <c r="W442" s="27"/>
    </row>
    <row r="443" spans="1:23" ht="15" customHeight="1" x14ac:dyDescent="0.2">
      <c r="A443" s="37"/>
      <c r="B443" s="37"/>
      <c r="C443" s="37"/>
      <c r="D443" s="37"/>
      <c r="E443" s="37"/>
      <c r="F443" s="37"/>
      <c r="G443" s="37"/>
      <c r="H443" s="37"/>
      <c r="I443" s="37"/>
      <c r="J443" s="37"/>
      <c r="K443" s="37"/>
      <c r="L443" s="37"/>
      <c r="M443" s="37"/>
      <c r="N443" s="37"/>
      <c r="O443" s="37"/>
      <c r="P443" s="37"/>
      <c r="Q443" s="27"/>
      <c r="R443" s="27"/>
      <c r="S443" s="27"/>
      <c r="T443" s="27"/>
      <c r="U443" s="27"/>
      <c r="V443" s="27"/>
      <c r="W443" s="27"/>
    </row>
    <row r="444" spans="1:23" ht="15" customHeight="1" x14ac:dyDescent="0.2">
      <c r="A444" s="37"/>
      <c r="B444" s="37"/>
      <c r="C444" s="37"/>
      <c r="D444" s="37"/>
      <c r="E444" s="37"/>
      <c r="F444" s="37"/>
      <c r="G444" s="37"/>
      <c r="H444" s="37"/>
      <c r="I444" s="37"/>
      <c r="J444" s="37"/>
      <c r="K444" s="37"/>
      <c r="L444" s="37"/>
      <c r="M444" s="37"/>
      <c r="N444" s="37"/>
      <c r="O444" s="37"/>
      <c r="P444" s="37"/>
      <c r="Q444" s="27"/>
      <c r="R444" s="27"/>
      <c r="S444" s="27"/>
      <c r="T444" s="27"/>
      <c r="U444" s="27"/>
      <c r="V444" s="27"/>
      <c r="W444" s="27"/>
    </row>
    <row r="445" spans="1:23" ht="15" customHeight="1" x14ac:dyDescent="0.2">
      <c r="A445" s="37"/>
      <c r="B445" s="37"/>
      <c r="C445" s="37"/>
      <c r="D445" s="37"/>
      <c r="E445" s="37"/>
      <c r="F445" s="37"/>
      <c r="G445" s="37"/>
      <c r="H445" s="37"/>
      <c r="I445" s="37"/>
      <c r="J445" s="37"/>
      <c r="K445" s="37"/>
      <c r="L445" s="37"/>
      <c r="M445" s="37"/>
      <c r="N445" s="37"/>
      <c r="O445" s="37"/>
      <c r="P445" s="37"/>
      <c r="Q445" s="27"/>
      <c r="R445" s="27"/>
      <c r="S445" s="27"/>
      <c r="T445" s="27"/>
      <c r="U445" s="27"/>
      <c r="V445" s="27"/>
      <c r="W445" s="27"/>
    </row>
    <row r="446" spans="1:23" ht="15" customHeight="1" x14ac:dyDescent="0.2">
      <c r="A446" s="37"/>
      <c r="B446" s="37"/>
      <c r="C446" s="37"/>
      <c r="D446" s="37"/>
      <c r="E446" s="37"/>
      <c r="F446" s="37"/>
      <c r="G446" s="37"/>
      <c r="H446" s="37"/>
      <c r="I446" s="37"/>
      <c r="J446" s="37"/>
      <c r="K446" s="37"/>
      <c r="L446" s="37"/>
      <c r="M446" s="37"/>
      <c r="N446" s="37"/>
      <c r="O446" s="37"/>
      <c r="P446" s="37"/>
      <c r="Q446" s="27"/>
      <c r="R446" s="27"/>
      <c r="S446" s="27"/>
      <c r="T446" s="27"/>
      <c r="U446" s="27"/>
      <c r="V446" s="27"/>
      <c r="W446" s="27"/>
    </row>
    <row r="447" spans="1:23" ht="15" customHeight="1" x14ac:dyDescent="0.2">
      <c r="A447" s="37"/>
      <c r="B447" s="37"/>
      <c r="C447" s="37"/>
      <c r="D447" s="37"/>
      <c r="E447" s="37"/>
      <c r="F447" s="37"/>
      <c r="G447" s="37"/>
      <c r="H447" s="37"/>
      <c r="I447" s="37"/>
      <c r="J447" s="37"/>
      <c r="K447" s="37"/>
      <c r="L447" s="37"/>
      <c r="M447" s="37"/>
      <c r="N447" s="37"/>
      <c r="O447" s="37"/>
      <c r="P447" s="37"/>
      <c r="Q447" s="27"/>
      <c r="R447" s="27"/>
      <c r="S447" s="27"/>
      <c r="T447" s="27"/>
      <c r="U447" s="27"/>
      <c r="V447" s="27"/>
      <c r="W447" s="27"/>
    </row>
    <row r="448" spans="1:23" ht="15" customHeight="1" x14ac:dyDescent="0.2">
      <c r="A448" s="37"/>
      <c r="B448" s="37"/>
      <c r="C448" s="37"/>
      <c r="D448" s="37"/>
      <c r="E448" s="37"/>
      <c r="F448" s="37"/>
      <c r="G448" s="37"/>
      <c r="H448" s="37"/>
      <c r="I448" s="37"/>
      <c r="J448" s="37"/>
      <c r="K448" s="37"/>
      <c r="L448" s="37"/>
      <c r="M448" s="37"/>
      <c r="N448" s="37"/>
      <c r="O448" s="37"/>
      <c r="P448" s="37"/>
      <c r="Q448" s="27"/>
      <c r="R448" s="27"/>
      <c r="S448" s="27"/>
      <c r="T448" s="27"/>
      <c r="U448" s="27"/>
      <c r="V448" s="27"/>
      <c r="W448" s="27"/>
    </row>
    <row r="449" spans="1:23" ht="15" customHeight="1" x14ac:dyDescent="0.2">
      <c r="A449" s="37"/>
      <c r="B449" s="37"/>
      <c r="C449" s="37"/>
      <c r="D449" s="37"/>
      <c r="E449" s="37"/>
      <c r="F449" s="37"/>
      <c r="G449" s="37"/>
      <c r="H449" s="37"/>
      <c r="I449" s="37"/>
      <c r="J449" s="37"/>
      <c r="K449" s="37"/>
      <c r="L449" s="37"/>
      <c r="M449" s="37"/>
      <c r="N449" s="37"/>
      <c r="O449" s="37"/>
      <c r="P449" s="37"/>
      <c r="Q449" s="27"/>
      <c r="R449" s="27"/>
      <c r="S449" s="27"/>
      <c r="T449" s="27"/>
      <c r="U449" s="27"/>
      <c r="V449" s="27"/>
      <c r="W449" s="27"/>
    </row>
    <row r="450" spans="1:23" ht="15" customHeight="1" x14ac:dyDescent="0.2">
      <c r="A450" s="37"/>
      <c r="B450" s="37"/>
      <c r="C450" s="37"/>
      <c r="D450" s="37"/>
      <c r="E450" s="37"/>
      <c r="F450" s="37"/>
      <c r="G450" s="37"/>
      <c r="H450" s="37"/>
      <c r="I450" s="37"/>
      <c r="J450" s="37"/>
      <c r="K450" s="37"/>
      <c r="L450" s="37"/>
      <c r="M450" s="37"/>
      <c r="N450" s="37"/>
      <c r="O450" s="37"/>
      <c r="P450" s="37"/>
      <c r="Q450" s="27"/>
      <c r="R450" s="27"/>
      <c r="S450" s="27"/>
      <c r="T450" s="27"/>
      <c r="U450" s="27"/>
      <c r="V450" s="27"/>
      <c r="W450" s="27"/>
    </row>
    <row r="451" spans="1:23" ht="15" customHeight="1" x14ac:dyDescent="0.2">
      <c r="A451" s="37"/>
      <c r="B451" s="37"/>
      <c r="C451" s="37"/>
      <c r="D451" s="37"/>
      <c r="E451" s="37"/>
      <c r="F451" s="37"/>
      <c r="G451" s="37"/>
      <c r="H451" s="37"/>
      <c r="I451" s="37"/>
      <c r="J451" s="37"/>
      <c r="K451" s="37"/>
      <c r="L451" s="37"/>
      <c r="M451" s="37"/>
      <c r="N451" s="37"/>
      <c r="O451" s="37"/>
      <c r="P451" s="37"/>
      <c r="Q451" s="27"/>
      <c r="R451" s="27"/>
      <c r="S451" s="27"/>
      <c r="T451" s="27"/>
      <c r="U451" s="27"/>
      <c r="V451" s="27"/>
      <c r="W451" s="27"/>
    </row>
    <row r="452" spans="1:23" ht="15" customHeight="1" x14ac:dyDescent="0.2">
      <c r="A452" s="37"/>
      <c r="B452" s="37"/>
      <c r="C452" s="37"/>
      <c r="D452" s="37"/>
      <c r="E452" s="37"/>
      <c r="F452" s="37"/>
      <c r="G452" s="37"/>
      <c r="H452" s="37"/>
      <c r="I452" s="37"/>
      <c r="J452" s="37"/>
      <c r="K452" s="37"/>
      <c r="L452" s="37"/>
      <c r="M452" s="37"/>
      <c r="N452" s="37"/>
      <c r="O452" s="37"/>
      <c r="P452" s="37"/>
      <c r="Q452" s="27"/>
      <c r="R452" s="27"/>
      <c r="S452" s="27"/>
      <c r="T452" s="27"/>
      <c r="U452" s="27"/>
      <c r="V452" s="27"/>
      <c r="W452" s="27"/>
    </row>
    <row r="453" spans="1:23" ht="15" customHeight="1" x14ac:dyDescent="0.2">
      <c r="A453" s="37"/>
      <c r="B453" s="37"/>
      <c r="C453" s="37"/>
      <c r="D453" s="37"/>
      <c r="E453" s="37"/>
      <c r="F453" s="37"/>
      <c r="G453" s="37"/>
      <c r="H453" s="37"/>
      <c r="I453" s="37"/>
      <c r="J453" s="37"/>
      <c r="K453" s="37"/>
      <c r="L453" s="37"/>
      <c r="M453" s="37"/>
      <c r="N453" s="37"/>
      <c r="O453" s="37"/>
      <c r="P453" s="37"/>
      <c r="Q453" s="27"/>
      <c r="R453" s="27"/>
      <c r="S453" s="27"/>
      <c r="T453" s="27"/>
      <c r="U453" s="27"/>
      <c r="V453" s="27"/>
      <c r="W453" s="27"/>
    </row>
    <row r="454" spans="1:23" ht="15" customHeight="1" x14ac:dyDescent="0.2">
      <c r="A454" s="37"/>
      <c r="B454" s="37"/>
      <c r="C454" s="37"/>
      <c r="D454" s="37"/>
      <c r="E454" s="37"/>
      <c r="F454" s="37"/>
      <c r="G454" s="37"/>
      <c r="H454" s="37"/>
      <c r="I454" s="37"/>
      <c r="J454" s="37"/>
      <c r="K454" s="37"/>
      <c r="L454" s="37"/>
      <c r="M454" s="37"/>
      <c r="N454" s="37"/>
      <c r="O454" s="37"/>
      <c r="P454" s="37"/>
      <c r="Q454" s="27"/>
      <c r="R454" s="27"/>
      <c r="S454" s="27"/>
      <c r="T454" s="27"/>
      <c r="U454" s="27"/>
      <c r="V454" s="27"/>
      <c r="W454" s="27"/>
    </row>
    <row r="455" spans="1:23" ht="15" customHeight="1" x14ac:dyDescent="0.2">
      <c r="A455" s="37"/>
      <c r="B455" s="37"/>
      <c r="C455" s="37"/>
      <c r="D455" s="37"/>
      <c r="E455" s="37"/>
      <c r="F455" s="37"/>
      <c r="G455" s="37"/>
      <c r="H455" s="37"/>
      <c r="I455" s="37"/>
      <c r="J455" s="37"/>
      <c r="K455" s="37"/>
      <c r="L455" s="37"/>
      <c r="M455" s="37"/>
      <c r="N455" s="37"/>
      <c r="O455" s="37"/>
      <c r="P455" s="37"/>
      <c r="Q455" s="27"/>
      <c r="R455" s="27"/>
      <c r="S455" s="27"/>
      <c r="T455" s="27"/>
      <c r="U455" s="27"/>
      <c r="V455" s="27"/>
      <c r="W455" s="27"/>
    </row>
    <row r="456" spans="1:23" ht="15" customHeight="1" x14ac:dyDescent="0.2">
      <c r="A456" s="37"/>
      <c r="B456" s="37"/>
      <c r="C456" s="37"/>
      <c r="D456" s="37"/>
      <c r="E456" s="37"/>
      <c r="F456" s="37"/>
      <c r="G456" s="37"/>
      <c r="H456" s="37"/>
      <c r="I456" s="37"/>
      <c r="J456" s="37"/>
      <c r="K456" s="37"/>
      <c r="L456" s="37"/>
      <c r="M456" s="37"/>
      <c r="N456" s="37"/>
      <c r="O456" s="37"/>
      <c r="P456" s="37"/>
      <c r="Q456" s="27"/>
      <c r="R456" s="27"/>
      <c r="S456" s="27"/>
      <c r="T456" s="27"/>
      <c r="U456" s="27"/>
      <c r="V456" s="27"/>
      <c r="W456" s="27"/>
    </row>
    <row r="457" spans="1:23" ht="15" customHeight="1" x14ac:dyDescent="0.2">
      <c r="A457" s="37"/>
      <c r="B457" s="37"/>
      <c r="C457" s="37"/>
      <c r="D457" s="37"/>
      <c r="E457" s="37"/>
      <c r="F457" s="37"/>
      <c r="G457" s="37"/>
      <c r="H457" s="37"/>
      <c r="I457" s="37"/>
      <c r="J457" s="37"/>
      <c r="K457" s="37"/>
      <c r="L457" s="37"/>
      <c r="M457" s="37"/>
      <c r="N457" s="37"/>
      <c r="O457" s="37"/>
      <c r="P457" s="37"/>
      <c r="Q457" s="27"/>
      <c r="R457" s="27"/>
      <c r="S457" s="27"/>
      <c r="T457" s="27"/>
      <c r="U457" s="27"/>
      <c r="V457" s="27"/>
      <c r="W457" s="27"/>
    </row>
    <row r="458" spans="1:23" ht="15" customHeight="1" x14ac:dyDescent="0.2">
      <c r="A458" s="37"/>
      <c r="B458" s="37"/>
      <c r="C458" s="37"/>
      <c r="D458" s="37"/>
      <c r="E458" s="37"/>
      <c r="F458" s="37"/>
      <c r="G458" s="37"/>
      <c r="H458" s="37"/>
      <c r="I458" s="37"/>
      <c r="J458" s="37"/>
      <c r="K458" s="37"/>
      <c r="L458" s="37"/>
      <c r="M458" s="37"/>
      <c r="N458" s="37"/>
      <c r="O458" s="37"/>
      <c r="P458" s="37"/>
      <c r="Q458" s="27"/>
      <c r="R458" s="27"/>
      <c r="S458" s="27"/>
      <c r="T458" s="27"/>
      <c r="U458" s="27"/>
      <c r="V458" s="27"/>
      <c r="W458" s="27"/>
    </row>
    <row r="459" spans="1:23" ht="15" customHeight="1" x14ac:dyDescent="0.2">
      <c r="A459" s="37"/>
      <c r="B459" s="37"/>
      <c r="C459" s="37"/>
      <c r="D459" s="37"/>
      <c r="E459" s="37"/>
      <c r="F459" s="37"/>
      <c r="G459" s="37"/>
      <c r="H459" s="37"/>
      <c r="I459" s="37"/>
      <c r="J459" s="37"/>
      <c r="K459" s="37"/>
      <c r="L459" s="37"/>
      <c r="M459" s="37"/>
      <c r="N459" s="37"/>
      <c r="O459" s="37"/>
      <c r="P459" s="37"/>
      <c r="Q459" s="27"/>
      <c r="R459" s="27"/>
      <c r="S459" s="27"/>
      <c r="T459" s="27"/>
      <c r="U459" s="27"/>
      <c r="V459" s="27"/>
      <c r="W459" s="27"/>
    </row>
    <row r="460" spans="1:23" ht="15" customHeight="1" x14ac:dyDescent="0.2">
      <c r="A460" s="37"/>
      <c r="B460" s="37"/>
      <c r="C460" s="37"/>
      <c r="D460" s="37"/>
      <c r="E460" s="37"/>
      <c r="F460" s="37"/>
      <c r="G460" s="37"/>
      <c r="H460" s="37"/>
      <c r="I460" s="37"/>
      <c r="J460" s="37"/>
      <c r="K460" s="37"/>
      <c r="L460" s="37"/>
      <c r="M460" s="37"/>
      <c r="N460" s="37"/>
      <c r="O460" s="37"/>
      <c r="P460" s="37"/>
      <c r="Q460" s="27"/>
      <c r="R460" s="27"/>
      <c r="S460" s="27"/>
      <c r="T460" s="27"/>
      <c r="U460" s="27"/>
      <c r="V460" s="27"/>
      <c r="W460" s="27"/>
    </row>
    <row r="461" spans="1:23" ht="15" customHeight="1" x14ac:dyDescent="0.2">
      <c r="A461" s="37"/>
      <c r="B461" s="37"/>
      <c r="C461" s="37"/>
      <c r="D461" s="37"/>
      <c r="E461" s="37"/>
      <c r="F461" s="37"/>
      <c r="G461" s="37"/>
      <c r="H461" s="37"/>
      <c r="I461" s="37"/>
      <c r="J461" s="37"/>
      <c r="K461" s="37"/>
      <c r="L461" s="37"/>
      <c r="M461" s="37"/>
      <c r="N461" s="37"/>
      <c r="O461" s="37"/>
      <c r="P461" s="37"/>
      <c r="Q461" s="27"/>
      <c r="R461" s="27"/>
      <c r="S461" s="27"/>
      <c r="T461" s="27"/>
      <c r="U461" s="27"/>
      <c r="V461" s="27"/>
      <c r="W461" s="27"/>
    </row>
    <row r="462" spans="1:23" ht="15" customHeight="1" x14ac:dyDescent="0.2">
      <c r="A462" s="37"/>
      <c r="B462" s="37"/>
      <c r="C462" s="37"/>
      <c r="D462" s="37"/>
      <c r="E462" s="37"/>
      <c r="F462" s="37"/>
      <c r="G462" s="37"/>
      <c r="H462" s="37"/>
      <c r="I462" s="37"/>
      <c r="J462" s="37"/>
      <c r="K462" s="37"/>
      <c r="L462" s="37"/>
      <c r="M462" s="37"/>
      <c r="N462" s="37"/>
      <c r="O462" s="37"/>
      <c r="P462" s="37"/>
      <c r="Q462" s="27"/>
      <c r="R462" s="27"/>
      <c r="S462" s="27"/>
      <c r="T462" s="27"/>
      <c r="U462" s="27"/>
      <c r="V462" s="27"/>
      <c r="W462" s="27"/>
    </row>
    <row r="463" spans="1:23" ht="15" customHeight="1" x14ac:dyDescent="0.2">
      <c r="A463" s="37"/>
      <c r="B463" s="37"/>
      <c r="C463" s="37"/>
      <c r="D463" s="37"/>
      <c r="E463" s="37"/>
      <c r="F463" s="37"/>
      <c r="G463" s="37"/>
      <c r="H463" s="37"/>
      <c r="I463" s="37"/>
      <c r="J463" s="37"/>
      <c r="K463" s="37"/>
      <c r="L463" s="37"/>
      <c r="M463" s="37"/>
      <c r="N463" s="37"/>
      <c r="O463" s="37"/>
      <c r="P463" s="37"/>
      <c r="Q463" s="27"/>
      <c r="R463" s="27"/>
      <c r="S463" s="27"/>
      <c r="T463" s="27"/>
      <c r="U463" s="27"/>
      <c r="V463" s="27"/>
      <c r="W463" s="27"/>
    </row>
    <row r="464" spans="1:23" ht="15" customHeight="1" x14ac:dyDescent="0.2">
      <c r="A464" s="37"/>
      <c r="B464" s="37"/>
      <c r="C464" s="37"/>
      <c r="D464" s="37"/>
      <c r="E464" s="37"/>
      <c r="F464" s="37"/>
      <c r="G464" s="37"/>
      <c r="H464" s="37"/>
      <c r="I464" s="37"/>
      <c r="J464" s="37"/>
      <c r="K464" s="37"/>
      <c r="L464" s="37"/>
      <c r="M464" s="37"/>
      <c r="N464" s="37"/>
      <c r="O464" s="37"/>
      <c r="P464" s="37"/>
      <c r="Q464" s="27"/>
      <c r="R464" s="27"/>
      <c r="S464" s="27"/>
      <c r="T464" s="27"/>
      <c r="U464" s="27"/>
      <c r="V464" s="27"/>
      <c r="W464" s="27"/>
    </row>
    <row r="465" spans="1:23" ht="15" customHeight="1" x14ac:dyDescent="0.2">
      <c r="A465" s="37"/>
      <c r="B465" s="37"/>
      <c r="C465" s="37"/>
      <c r="D465" s="37"/>
      <c r="E465" s="37"/>
      <c r="F465" s="37"/>
      <c r="G465" s="37"/>
      <c r="H465" s="37"/>
      <c r="I465" s="37"/>
      <c r="J465" s="37"/>
      <c r="K465" s="37"/>
      <c r="L465" s="37"/>
      <c r="M465" s="37"/>
      <c r="N465" s="37"/>
      <c r="O465" s="37"/>
      <c r="P465" s="37"/>
      <c r="Q465" s="27"/>
      <c r="R465" s="27"/>
      <c r="S465" s="27"/>
      <c r="T465" s="27"/>
      <c r="U465" s="27"/>
      <c r="V465" s="27"/>
      <c r="W465" s="27"/>
    </row>
    <row r="466" spans="1:23" ht="15" customHeight="1" x14ac:dyDescent="0.2">
      <c r="A466" s="37"/>
      <c r="B466" s="37"/>
      <c r="C466" s="37"/>
      <c r="D466" s="37"/>
      <c r="E466" s="37"/>
      <c r="F466" s="37"/>
      <c r="G466" s="37"/>
      <c r="H466" s="37"/>
      <c r="I466" s="37"/>
      <c r="J466" s="37"/>
      <c r="K466" s="37"/>
      <c r="L466" s="37"/>
      <c r="M466" s="37"/>
      <c r="N466" s="37"/>
      <c r="O466" s="37"/>
      <c r="P466" s="37"/>
      <c r="Q466" s="27"/>
      <c r="R466" s="27"/>
      <c r="S466" s="27"/>
      <c r="T466" s="27"/>
      <c r="U466" s="27"/>
      <c r="V466" s="27"/>
      <c r="W466" s="27"/>
    </row>
    <row r="467" spans="1:23" ht="15" customHeight="1" x14ac:dyDescent="0.2">
      <c r="A467" s="37"/>
      <c r="B467" s="37"/>
      <c r="C467" s="37"/>
      <c r="D467" s="37"/>
      <c r="E467" s="37"/>
      <c r="F467" s="37"/>
      <c r="G467" s="37"/>
      <c r="H467" s="37"/>
      <c r="I467" s="37"/>
      <c r="J467" s="37"/>
      <c r="K467" s="37"/>
      <c r="L467" s="37"/>
      <c r="M467" s="37"/>
      <c r="N467" s="37"/>
      <c r="O467" s="37"/>
      <c r="P467" s="37"/>
      <c r="Q467" s="27"/>
      <c r="R467" s="27"/>
      <c r="S467" s="27"/>
      <c r="T467" s="27"/>
      <c r="U467" s="27"/>
      <c r="V467" s="27"/>
      <c r="W467" s="27"/>
    </row>
    <row r="468" spans="1:23" ht="15" customHeight="1" x14ac:dyDescent="0.2">
      <c r="A468" s="37"/>
      <c r="B468" s="37"/>
      <c r="C468" s="37"/>
      <c r="D468" s="37"/>
      <c r="E468" s="37"/>
      <c r="F468" s="37"/>
      <c r="G468" s="37"/>
      <c r="H468" s="37"/>
      <c r="I468" s="37"/>
      <c r="J468" s="37"/>
      <c r="K468" s="37"/>
      <c r="L468" s="37"/>
      <c r="M468" s="37"/>
      <c r="N468" s="37"/>
      <c r="O468" s="37"/>
      <c r="P468" s="37"/>
      <c r="Q468" s="27"/>
      <c r="R468" s="27"/>
      <c r="S468" s="27"/>
      <c r="T468" s="27"/>
      <c r="U468" s="27"/>
      <c r="V468" s="27"/>
      <c r="W468" s="27"/>
    </row>
    <row r="469" spans="1:23" ht="15" customHeight="1" x14ac:dyDescent="0.2">
      <c r="A469" s="37"/>
      <c r="B469" s="37"/>
      <c r="C469" s="37"/>
      <c r="D469" s="37"/>
      <c r="E469" s="37"/>
      <c r="F469" s="37"/>
      <c r="G469" s="37"/>
      <c r="H469" s="37"/>
      <c r="I469" s="37"/>
      <c r="J469" s="37"/>
      <c r="K469" s="37"/>
      <c r="L469" s="37"/>
      <c r="M469" s="37"/>
      <c r="N469" s="37"/>
      <c r="O469" s="37"/>
      <c r="P469" s="37"/>
      <c r="Q469" s="27"/>
      <c r="R469" s="27"/>
      <c r="S469" s="27"/>
      <c r="T469" s="27"/>
      <c r="U469" s="27"/>
      <c r="V469" s="27"/>
      <c r="W469" s="27"/>
    </row>
    <row r="470" spans="1:23" ht="15" customHeight="1" x14ac:dyDescent="0.2">
      <c r="A470" s="37"/>
      <c r="B470" s="37"/>
      <c r="C470" s="37"/>
      <c r="D470" s="37"/>
      <c r="E470" s="37"/>
      <c r="F470" s="37"/>
      <c r="G470" s="37"/>
      <c r="H470" s="37"/>
      <c r="I470" s="37"/>
      <c r="J470" s="37"/>
      <c r="K470" s="37"/>
      <c r="L470" s="37"/>
      <c r="M470" s="37"/>
      <c r="N470" s="37"/>
      <c r="O470" s="37"/>
      <c r="P470" s="37"/>
      <c r="Q470" s="27"/>
      <c r="R470" s="27"/>
      <c r="S470" s="27"/>
      <c r="T470" s="27"/>
      <c r="U470" s="27"/>
      <c r="V470" s="27"/>
      <c r="W470" s="27"/>
    </row>
    <row r="471" spans="1:23" ht="15" customHeight="1" x14ac:dyDescent="0.2">
      <c r="A471" s="37"/>
      <c r="B471" s="37"/>
      <c r="C471" s="37"/>
      <c r="D471" s="37"/>
      <c r="E471" s="37"/>
      <c r="F471" s="37"/>
      <c r="G471" s="37"/>
      <c r="H471" s="37"/>
      <c r="I471" s="37"/>
      <c r="J471" s="37"/>
      <c r="K471" s="37"/>
      <c r="L471" s="37"/>
      <c r="M471" s="37"/>
      <c r="N471" s="37"/>
      <c r="O471" s="37"/>
      <c r="P471" s="37"/>
      <c r="Q471" s="27"/>
      <c r="R471" s="27"/>
      <c r="S471" s="27"/>
      <c r="T471" s="27"/>
      <c r="U471" s="27"/>
      <c r="V471" s="27"/>
      <c r="W471" s="27"/>
    </row>
    <row r="472" spans="1:23" ht="15" customHeight="1" x14ac:dyDescent="0.2">
      <c r="A472" s="37"/>
      <c r="B472" s="37"/>
      <c r="C472" s="37"/>
      <c r="D472" s="37"/>
      <c r="E472" s="37"/>
      <c r="F472" s="37"/>
      <c r="G472" s="37"/>
      <c r="H472" s="37"/>
      <c r="I472" s="37"/>
      <c r="J472" s="37"/>
      <c r="K472" s="37"/>
      <c r="L472" s="37"/>
      <c r="M472" s="37"/>
      <c r="N472" s="37"/>
      <c r="O472" s="37"/>
      <c r="P472" s="37"/>
      <c r="Q472" s="27"/>
      <c r="R472" s="27"/>
      <c r="S472" s="27"/>
      <c r="T472" s="27"/>
      <c r="U472" s="27"/>
      <c r="V472" s="27"/>
      <c r="W472" s="27"/>
    </row>
    <row r="473" spans="1:23" ht="15" customHeight="1" x14ac:dyDescent="0.2">
      <c r="A473" s="37"/>
      <c r="B473" s="37"/>
      <c r="C473" s="37"/>
      <c r="D473" s="37"/>
      <c r="E473" s="37"/>
      <c r="F473" s="37"/>
      <c r="G473" s="37"/>
      <c r="H473" s="37"/>
      <c r="I473" s="37"/>
      <c r="J473" s="37"/>
      <c r="K473" s="37"/>
      <c r="L473" s="37"/>
      <c r="M473" s="37"/>
      <c r="N473" s="37"/>
      <c r="O473" s="37"/>
      <c r="P473" s="37"/>
      <c r="Q473" s="27"/>
      <c r="R473" s="27"/>
      <c r="S473" s="27"/>
      <c r="T473" s="27"/>
      <c r="U473" s="27"/>
      <c r="V473" s="27"/>
      <c r="W473" s="27"/>
    </row>
    <row r="474" spans="1:23" ht="15" customHeight="1" x14ac:dyDescent="0.2">
      <c r="A474" s="37"/>
      <c r="B474" s="37"/>
      <c r="C474" s="37"/>
      <c r="D474" s="37"/>
      <c r="E474" s="37"/>
      <c r="F474" s="37"/>
      <c r="G474" s="37"/>
      <c r="H474" s="37"/>
      <c r="I474" s="37"/>
      <c r="J474" s="37"/>
      <c r="K474" s="37"/>
      <c r="L474" s="37"/>
      <c r="M474" s="37"/>
      <c r="N474" s="37"/>
      <c r="O474" s="37"/>
      <c r="P474" s="37"/>
      <c r="Q474" s="27"/>
      <c r="R474" s="27"/>
      <c r="S474" s="27"/>
      <c r="T474" s="27"/>
      <c r="U474" s="27"/>
      <c r="V474" s="27"/>
      <c r="W474" s="27"/>
    </row>
    <row r="475" spans="1:23" ht="15" customHeight="1" x14ac:dyDescent="0.2">
      <c r="A475" s="37"/>
      <c r="B475" s="37"/>
      <c r="C475" s="37"/>
      <c r="D475" s="37"/>
      <c r="E475" s="37"/>
      <c r="F475" s="37"/>
      <c r="G475" s="37"/>
      <c r="H475" s="37"/>
      <c r="I475" s="37"/>
      <c r="J475" s="37"/>
      <c r="K475" s="37"/>
      <c r="L475" s="37"/>
      <c r="M475" s="37"/>
      <c r="N475" s="37"/>
      <c r="O475" s="37"/>
      <c r="P475" s="37"/>
      <c r="Q475" s="27"/>
      <c r="R475" s="27"/>
      <c r="S475" s="27"/>
      <c r="T475" s="27"/>
      <c r="U475" s="27"/>
      <c r="V475" s="27"/>
      <c r="W475" s="27"/>
    </row>
    <row r="476" spans="1:23" ht="15" customHeight="1" x14ac:dyDescent="0.2">
      <c r="A476" s="37"/>
      <c r="B476" s="37"/>
      <c r="C476" s="37"/>
      <c r="D476" s="37"/>
      <c r="E476" s="37"/>
      <c r="F476" s="37"/>
      <c r="G476" s="37"/>
      <c r="H476" s="37"/>
      <c r="I476" s="37"/>
      <c r="J476" s="37"/>
      <c r="K476" s="37"/>
      <c r="L476" s="37"/>
      <c r="M476" s="37"/>
      <c r="N476" s="37"/>
      <c r="O476" s="37"/>
      <c r="P476" s="37"/>
      <c r="Q476" s="27"/>
      <c r="R476" s="27"/>
      <c r="S476" s="27"/>
      <c r="T476" s="27"/>
      <c r="U476" s="27"/>
      <c r="V476" s="27"/>
      <c r="W476" s="27"/>
    </row>
    <row r="477" spans="1:23" ht="15" customHeight="1" x14ac:dyDescent="0.2">
      <c r="A477" s="37"/>
      <c r="B477" s="37"/>
      <c r="C477" s="37"/>
      <c r="D477" s="37"/>
      <c r="E477" s="37"/>
      <c r="F477" s="37"/>
      <c r="G477" s="37"/>
      <c r="H477" s="37"/>
      <c r="I477" s="37"/>
      <c r="J477" s="37"/>
      <c r="K477" s="37"/>
      <c r="L477" s="37"/>
      <c r="M477" s="37"/>
      <c r="N477" s="37"/>
      <c r="O477" s="37"/>
      <c r="P477" s="37"/>
      <c r="Q477" s="27"/>
      <c r="R477" s="27"/>
      <c r="S477" s="27"/>
      <c r="T477" s="27"/>
      <c r="U477" s="27"/>
      <c r="V477" s="27"/>
      <c r="W477" s="27"/>
    </row>
    <row r="478" spans="1:23" ht="15" customHeight="1" x14ac:dyDescent="0.2">
      <c r="A478" s="37"/>
      <c r="B478" s="37"/>
      <c r="C478" s="37"/>
      <c r="D478" s="37"/>
      <c r="E478" s="37"/>
      <c r="F478" s="37"/>
      <c r="G478" s="37"/>
      <c r="H478" s="37"/>
      <c r="I478" s="37"/>
      <c r="J478" s="37"/>
      <c r="K478" s="37"/>
      <c r="L478" s="37"/>
      <c r="M478" s="37"/>
      <c r="N478" s="37"/>
      <c r="O478" s="37"/>
      <c r="P478" s="37"/>
      <c r="Q478" s="27"/>
      <c r="R478" s="27"/>
      <c r="S478" s="27"/>
      <c r="T478" s="27"/>
      <c r="U478" s="27"/>
      <c r="V478" s="27"/>
      <c r="W478" s="27"/>
    </row>
    <row r="479" spans="1:23" ht="15" customHeight="1" x14ac:dyDescent="0.2">
      <c r="A479" s="37"/>
      <c r="B479" s="37"/>
      <c r="C479" s="37"/>
      <c r="D479" s="37"/>
      <c r="E479" s="37"/>
      <c r="F479" s="37"/>
      <c r="G479" s="37"/>
      <c r="H479" s="37"/>
      <c r="I479" s="37"/>
      <c r="J479" s="37"/>
      <c r="K479" s="37"/>
      <c r="L479" s="37"/>
      <c r="M479" s="37"/>
      <c r="N479" s="37"/>
      <c r="O479" s="37"/>
      <c r="P479" s="37"/>
      <c r="Q479" s="27"/>
      <c r="R479" s="27"/>
      <c r="S479" s="27"/>
      <c r="T479" s="27"/>
      <c r="U479" s="27"/>
      <c r="V479" s="27"/>
      <c r="W479" s="27"/>
    </row>
    <row r="480" spans="1:23" ht="15" customHeight="1" x14ac:dyDescent="0.2">
      <c r="A480" s="37"/>
      <c r="B480" s="37"/>
      <c r="C480" s="37"/>
      <c r="D480" s="37"/>
      <c r="E480" s="37"/>
      <c r="F480" s="37"/>
      <c r="G480" s="37"/>
      <c r="H480" s="37"/>
      <c r="I480" s="37"/>
      <c r="J480" s="37"/>
      <c r="K480" s="37"/>
      <c r="L480" s="37"/>
      <c r="M480" s="37"/>
      <c r="N480" s="37"/>
      <c r="O480" s="37"/>
      <c r="P480" s="37"/>
      <c r="Q480" s="27"/>
      <c r="R480" s="27"/>
      <c r="S480" s="27"/>
      <c r="T480" s="27"/>
      <c r="U480" s="27"/>
      <c r="V480" s="27"/>
      <c r="W480" s="27"/>
    </row>
    <row r="481" spans="1:23" ht="15" customHeight="1" x14ac:dyDescent="0.2">
      <c r="A481" s="37"/>
      <c r="B481" s="37"/>
      <c r="C481" s="37"/>
      <c r="D481" s="37"/>
      <c r="E481" s="37"/>
      <c r="F481" s="37"/>
      <c r="G481" s="37"/>
      <c r="H481" s="37"/>
      <c r="I481" s="37"/>
      <c r="J481" s="37"/>
      <c r="K481" s="37"/>
      <c r="L481" s="37"/>
      <c r="M481" s="37"/>
      <c r="N481" s="37"/>
      <c r="O481" s="37"/>
      <c r="P481" s="37"/>
      <c r="Q481" s="27"/>
      <c r="R481" s="27"/>
      <c r="S481" s="27"/>
      <c r="T481" s="27"/>
      <c r="U481" s="27"/>
      <c r="V481" s="27"/>
      <c r="W481" s="27"/>
    </row>
    <row r="482" spans="1:23" ht="15" customHeight="1" x14ac:dyDescent="0.2">
      <c r="A482" s="37"/>
      <c r="B482" s="37"/>
      <c r="C482" s="37"/>
      <c r="D482" s="37"/>
      <c r="E482" s="37"/>
      <c r="F482" s="37"/>
      <c r="G482" s="37"/>
      <c r="H482" s="37"/>
      <c r="I482" s="37"/>
      <c r="J482" s="37"/>
      <c r="K482" s="37"/>
      <c r="L482" s="37"/>
      <c r="M482" s="37"/>
      <c r="N482" s="37"/>
      <c r="O482" s="37"/>
      <c r="P482" s="37"/>
      <c r="Q482" s="27"/>
      <c r="R482" s="27"/>
      <c r="S482" s="27"/>
      <c r="T482" s="27"/>
      <c r="U482" s="27"/>
      <c r="V482" s="27"/>
      <c r="W482" s="27"/>
    </row>
    <row r="483" spans="1:23" ht="15" customHeight="1" x14ac:dyDescent="0.2">
      <c r="A483" s="37"/>
      <c r="B483" s="37"/>
      <c r="C483" s="37"/>
      <c r="D483" s="37"/>
      <c r="E483" s="37"/>
      <c r="F483" s="37"/>
      <c r="G483" s="37"/>
      <c r="H483" s="37"/>
      <c r="I483" s="37"/>
      <c r="J483" s="37"/>
      <c r="K483" s="37"/>
      <c r="L483" s="37"/>
      <c r="M483" s="37"/>
      <c r="N483" s="37"/>
      <c r="O483" s="37"/>
      <c r="P483" s="37"/>
      <c r="Q483" s="27"/>
      <c r="R483" s="27"/>
      <c r="S483" s="27"/>
      <c r="T483" s="27"/>
      <c r="U483" s="27"/>
      <c r="V483" s="27"/>
      <c r="W483" s="27"/>
    </row>
    <row r="484" spans="1:23" ht="15" customHeight="1" x14ac:dyDescent="0.2">
      <c r="A484" s="37"/>
      <c r="B484" s="37"/>
      <c r="C484" s="37"/>
      <c r="D484" s="37"/>
      <c r="E484" s="37"/>
      <c r="F484" s="37"/>
      <c r="G484" s="37"/>
      <c r="H484" s="37"/>
      <c r="I484" s="37"/>
      <c r="J484" s="37"/>
      <c r="K484" s="37"/>
      <c r="L484" s="37"/>
      <c r="M484" s="37"/>
      <c r="N484" s="37"/>
      <c r="O484" s="37"/>
      <c r="P484" s="37"/>
      <c r="Q484" s="27"/>
      <c r="R484" s="27"/>
      <c r="S484" s="27"/>
      <c r="T484" s="27"/>
      <c r="U484" s="27"/>
      <c r="V484" s="27"/>
      <c r="W484" s="27"/>
    </row>
    <row r="485" spans="1:23" ht="15" customHeight="1" x14ac:dyDescent="0.2">
      <c r="A485" s="37"/>
      <c r="B485" s="37"/>
      <c r="C485" s="37"/>
      <c r="D485" s="37"/>
      <c r="E485" s="37"/>
      <c r="F485" s="37"/>
      <c r="G485" s="37"/>
      <c r="H485" s="37"/>
      <c r="I485" s="37"/>
      <c r="J485" s="37"/>
      <c r="K485" s="37"/>
      <c r="L485" s="37"/>
      <c r="M485" s="37"/>
      <c r="N485" s="37"/>
      <c r="O485" s="37"/>
      <c r="P485" s="37"/>
      <c r="Q485" s="27"/>
      <c r="R485" s="27"/>
      <c r="S485" s="27"/>
      <c r="T485" s="27"/>
      <c r="U485" s="27"/>
      <c r="V485" s="27"/>
      <c r="W485" s="27"/>
    </row>
    <row r="486" spans="1:23" ht="15" customHeight="1" x14ac:dyDescent="0.2">
      <c r="A486" s="37"/>
      <c r="B486" s="37"/>
      <c r="C486" s="37"/>
      <c r="D486" s="37"/>
      <c r="E486" s="37"/>
      <c r="F486" s="37"/>
      <c r="G486" s="37"/>
      <c r="H486" s="37"/>
      <c r="I486" s="37"/>
      <c r="J486" s="37"/>
      <c r="K486" s="37"/>
      <c r="L486" s="37"/>
      <c r="M486" s="37"/>
      <c r="N486" s="37"/>
      <c r="O486" s="37"/>
      <c r="P486" s="37"/>
      <c r="Q486" s="27"/>
      <c r="R486" s="27"/>
      <c r="S486" s="27"/>
      <c r="T486" s="27"/>
      <c r="U486" s="27"/>
      <c r="V486" s="27"/>
      <c r="W486" s="27"/>
    </row>
    <row r="487" spans="1:23" ht="15" customHeight="1" x14ac:dyDescent="0.2">
      <c r="A487" s="37"/>
      <c r="B487" s="37"/>
      <c r="C487" s="37"/>
      <c r="D487" s="37"/>
      <c r="E487" s="37"/>
      <c r="F487" s="37"/>
      <c r="G487" s="37"/>
      <c r="H487" s="37"/>
      <c r="I487" s="37"/>
      <c r="J487" s="37"/>
      <c r="K487" s="37"/>
      <c r="L487" s="37"/>
      <c r="M487" s="37"/>
      <c r="N487" s="37"/>
      <c r="O487" s="37"/>
      <c r="P487" s="37"/>
      <c r="Q487" s="27"/>
      <c r="R487" s="27"/>
      <c r="S487" s="27"/>
      <c r="T487" s="27"/>
      <c r="U487" s="27"/>
      <c r="V487" s="27"/>
      <c r="W487" s="27"/>
    </row>
    <row r="488" spans="1:23" ht="15" customHeight="1" x14ac:dyDescent="0.2">
      <c r="A488" s="37"/>
      <c r="B488" s="37"/>
      <c r="C488" s="37"/>
      <c r="D488" s="37"/>
      <c r="E488" s="37"/>
      <c r="F488" s="37"/>
      <c r="G488" s="37"/>
      <c r="H488" s="37"/>
      <c r="I488" s="37"/>
      <c r="J488" s="37"/>
      <c r="K488" s="37"/>
      <c r="L488" s="37"/>
      <c r="M488" s="37"/>
      <c r="N488" s="37"/>
      <c r="O488" s="37"/>
      <c r="P488" s="37"/>
      <c r="Q488" s="27"/>
      <c r="R488" s="27"/>
      <c r="S488" s="27"/>
      <c r="T488" s="27"/>
      <c r="U488" s="27"/>
      <c r="V488" s="27"/>
      <c r="W488" s="27"/>
    </row>
    <row r="489" spans="1:23" ht="15" customHeight="1" x14ac:dyDescent="0.2">
      <c r="A489" s="37"/>
      <c r="B489" s="37"/>
      <c r="C489" s="37"/>
      <c r="D489" s="37"/>
      <c r="E489" s="37"/>
      <c r="F489" s="37"/>
      <c r="G489" s="37"/>
      <c r="H489" s="37"/>
      <c r="I489" s="37"/>
      <c r="J489" s="37"/>
      <c r="K489" s="37"/>
      <c r="L489" s="37"/>
      <c r="M489" s="37"/>
      <c r="N489" s="37"/>
      <c r="O489" s="37"/>
      <c r="P489" s="37"/>
      <c r="Q489" s="27"/>
      <c r="R489" s="27"/>
      <c r="S489" s="27"/>
      <c r="T489" s="27"/>
      <c r="U489" s="27"/>
      <c r="V489" s="27"/>
      <c r="W489" s="27"/>
    </row>
    <row r="490" spans="1:23" ht="15" customHeight="1" x14ac:dyDescent="0.2">
      <c r="A490" s="37"/>
      <c r="B490" s="37"/>
      <c r="C490" s="37"/>
      <c r="D490" s="37"/>
      <c r="E490" s="37"/>
      <c r="F490" s="37"/>
      <c r="G490" s="37"/>
      <c r="H490" s="37"/>
      <c r="I490" s="37"/>
      <c r="J490" s="37"/>
      <c r="K490" s="37"/>
      <c r="L490" s="37"/>
      <c r="M490" s="37"/>
      <c r="N490" s="37"/>
      <c r="O490" s="37"/>
      <c r="P490" s="37"/>
      <c r="Q490" s="27"/>
      <c r="R490" s="27"/>
      <c r="S490" s="27"/>
      <c r="T490" s="27"/>
      <c r="U490" s="27"/>
      <c r="V490" s="27"/>
      <c r="W490" s="27"/>
    </row>
    <row r="491" spans="1:23" ht="15" customHeight="1" x14ac:dyDescent="0.2">
      <c r="A491" s="37"/>
      <c r="B491" s="37"/>
      <c r="C491" s="37"/>
      <c r="D491" s="37"/>
      <c r="E491" s="37"/>
      <c r="F491" s="37"/>
      <c r="G491" s="37"/>
      <c r="H491" s="37"/>
      <c r="I491" s="37"/>
      <c r="J491" s="37"/>
      <c r="K491" s="37"/>
      <c r="L491" s="37"/>
      <c r="M491" s="37"/>
      <c r="N491" s="37"/>
      <c r="O491" s="37"/>
      <c r="P491" s="37"/>
      <c r="Q491" s="27"/>
      <c r="R491" s="27"/>
      <c r="S491" s="27"/>
      <c r="T491" s="27"/>
      <c r="U491" s="27"/>
      <c r="V491" s="27"/>
      <c r="W491" s="27"/>
    </row>
    <row r="492" spans="1:23" ht="15" customHeight="1" x14ac:dyDescent="0.2">
      <c r="A492" s="37"/>
      <c r="B492" s="37"/>
      <c r="C492" s="37"/>
      <c r="D492" s="37"/>
      <c r="E492" s="37"/>
      <c r="F492" s="37"/>
      <c r="G492" s="37"/>
      <c r="H492" s="37"/>
      <c r="I492" s="37"/>
      <c r="J492" s="37"/>
      <c r="K492" s="37"/>
      <c r="L492" s="37"/>
      <c r="M492" s="37"/>
      <c r="N492" s="37"/>
      <c r="O492" s="37"/>
      <c r="P492" s="37"/>
      <c r="Q492" s="27"/>
      <c r="R492" s="27"/>
      <c r="S492" s="27"/>
      <c r="T492" s="27"/>
      <c r="U492" s="27"/>
      <c r="V492" s="27"/>
      <c r="W492" s="27"/>
    </row>
    <row r="493" spans="1:23" ht="15" customHeight="1" x14ac:dyDescent="0.2">
      <c r="A493" s="37"/>
      <c r="B493" s="37"/>
      <c r="C493" s="37"/>
      <c r="D493" s="37"/>
      <c r="E493" s="37"/>
      <c r="F493" s="37"/>
      <c r="G493" s="37"/>
      <c r="H493" s="37"/>
      <c r="I493" s="37"/>
      <c r="J493" s="37"/>
      <c r="K493" s="37"/>
      <c r="L493" s="37"/>
      <c r="M493" s="37"/>
      <c r="N493" s="37"/>
      <c r="O493" s="37"/>
      <c r="P493" s="37"/>
      <c r="Q493" s="27"/>
      <c r="R493" s="27"/>
      <c r="S493" s="27"/>
      <c r="T493" s="27"/>
      <c r="U493" s="27"/>
      <c r="V493" s="27"/>
      <c r="W493" s="27"/>
    </row>
    <row r="494" spans="1:23" ht="15" customHeight="1" x14ac:dyDescent="0.2">
      <c r="A494" s="37"/>
      <c r="B494" s="37"/>
      <c r="C494" s="37"/>
      <c r="D494" s="37"/>
      <c r="E494" s="37"/>
      <c r="F494" s="37"/>
      <c r="G494" s="37"/>
      <c r="H494" s="37"/>
      <c r="I494" s="37"/>
      <c r="J494" s="37"/>
      <c r="K494" s="37"/>
      <c r="L494" s="37"/>
      <c r="M494" s="37"/>
      <c r="N494" s="37"/>
      <c r="O494" s="37"/>
      <c r="P494" s="37"/>
      <c r="Q494" s="27"/>
      <c r="R494" s="27"/>
      <c r="S494" s="27"/>
      <c r="T494" s="27"/>
      <c r="U494" s="27"/>
      <c r="V494" s="27"/>
      <c r="W494" s="27"/>
    </row>
    <row r="495" spans="1:23" ht="15" customHeight="1" x14ac:dyDescent="0.2">
      <c r="A495" s="37"/>
      <c r="B495" s="37"/>
      <c r="C495" s="37"/>
      <c r="D495" s="37"/>
      <c r="E495" s="37"/>
      <c r="F495" s="37"/>
      <c r="G495" s="37"/>
      <c r="H495" s="37"/>
      <c r="I495" s="37"/>
      <c r="J495" s="37"/>
      <c r="K495" s="37"/>
      <c r="L495" s="37"/>
      <c r="M495" s="37"/>
      <c r="N495" s="37"/>
      <c r="O495" s="37"/>
      <c r="P495" s="37"/>
      <c r="Q495" s="27"/>
      <c r="R495" s="27"/>
      <c r="S495" s="27"/>
      <c r="T495" s="27"/>
      <c r="U495" s="27"/>
      <c r="V495" s="27"/>
      <c r="W495" s="27"/>
    </row>
    <row r="496" spans="1:23" ht="15" customHeight="1" x14ac:dyDescent="0.2">
      <c r="A496" s="37"/>
      <c r="B496" s="37"/>
      <c r="C496" s="37"/>
      <c r="D496" s="37"/>
      <c r="E496" s="37"/>
      <c r="F496" s="37"/>
      <c r="G496" s="37"/>
      <c r="H496" s="37"/>
      <c r="I496" s="37"/>
      <c r="J496" s="37"/>
      <c r="K496" s="37"/>
      <c r="L496" s="37"/>
      <c r="M496" s="37"/>
      <c r="N496" s="37"/>
      <c r="O496" s="37"/>
      <c r="P496" s="37"/>
      <c r="Q496" s="27"/>
      <c r="R496" s="27"/>
      <c r="S496" s="27"/>
      <c r="T496" s="27"/>
      <c r="U496" s="27"/>
      <c r="V496" s="27"/>
      <c r="W496" s="27"/>
    </row>
    <row r="497" spans="1:23" ht="15" customHeight="1" x14ac:dyDescent="0.2">
      <c r="A497" s="37"/>
      <c r="B497" s="37"/>
      <c r="C497" s="37"/>
      <c r="D497" s="37"/>
      <c r="E497" s="37"/>
      <c r="F497" s="37"/>
      <c r="G497" s="37"/>
      <c r="H497" s="37"/>
      <c r="I497" s="37"/>
      <c r="J497" s="37"/>
      <c r="K497" s="37"/>
      <c r="L497" s="37"/>
      <c r="M497" s="37"/>
      <c r="N497" s="37"/>
      <c r="O497" s="37"/>
      <c r="P497" s="37"/>
      <c r="Q497" s="27"/>
      <c r="R497" s="27"/>
      <c r="S497" s="27"/>
      <c r="T497" s="27"/>
      <c r="U497" s="27"/>
      <c r="V497" s="27"/>
      <c r="W497" s="27"/>
    </row>
    <row r="498" spans="1:23" ht="15" customHeight="1" x14ac:dyDescent="0.2">
      <c r="A498" s="37"/>
      <c r="B498" s="37"/>
      <c r="C498" s="37"/>
      <c r="D498" s="37"/>
      <c r="E498" s="37"/>
      <c r="F498" s="37"/>
      <c r="G498" s="37"/>
      <c r="H498" s="37"/>
      <c r="I498" s="37"/>
      <c r="J498" s="37"/>
      <c r="K498" s="37"/>
      <c r="L498" s="37"/>
      <c r="M498" s="37"/>
      <c r="N498" s="37"/>
      <c r="O498" s="37"/>
      <c r="P498" s="37"/>
      <c r="Q498" s="27"/>
      <c r="R498" s="27"/>
      <c r="S498" s="27"/>
      <c r="T498" s="27"/>
      <c r="U498" s="27"/>
      <c r="V498" s="27"/>
      <c r="W498" s="27"/>
    </row>
    <row r="499" spans="1:23" ht="15" customHeight="1" x14ac:dyDescent="0.2">
      <c r="A499" s="37"/>
      <c r="B499" s="37"/>
      <c r="C499" s="37"/>
      <c r="D499" s="37"/>
      <c r="E499" s="37"/>
      <c r="F499" s="37"/>
      <c r="G499" s="37"/>
      <c r="H499" s="37"/>
      <c r="I499" s="37"/>
      <c r="J499" s="37"/>
      <c r="K499" s="37"/>
      <c r="L499" s="37"/>
      <c r="M499" s="37"/>
      <c r="N499" s="37"/>
      <c r="O499" s="37"/>
      <c r="P499" s="37"/>
      <c r="Q499" s="27"/>
      <c r="R499" s="27"/>
      <c r="S499" s="27"/>
      <c r="T499" s="27"/>
      <c r="U499" s="27"/>
      <c r="V499" s="27"/>
      <c r="W499" s="27"/>
    </row>
    <row r="500" spans="1:23" ht="15" customHeight="1" x14ac:dyDescent="0.2">
      <c r="A500" s="37"/>
      <c r="B500" s="37"/>
      <c r="C500" s="37"/>
      <c r="D500" s="37"/>
      <c r="E500" s="37"/>
      <c r="F500" s="37"/>
      <c r="G500" s="37"/>
      <c r="H500" s="37"/>
      <c r="I500" s="37"/>
      <c r="J500" s="37"/>
      <c r="K500" s="37"/>
      <c r="L500" s="37"/>
      <c r="M500" s="37"/>
      <c r="N500" s="37"/>
      <c r="O500" s="37"/>
      <c r="P500" s="37"/>
      <c r="Q500" s="27"/>
      <c r="R500" s="27"/>
      <c r="S500" s="27"/>
      <c r="T500" s="27"/>
      <c r="U500" s="27"/>
      <c r="V500" s="27"/>
      <c r="W500" s="27"/>
    </row>
    <row r="501" spans="1:23" ht="15" customHeight="1" x14ac:dyDescent="0.2">
      <c r="A501" s="37"/>
      <c r="B501" s="37"/>
      <c r="C501" s="37"/>
      <c r="D501" s="37"/>
      <c r="E501" s="37"/>
      <c r="F501" s="37"/>
      <c r="G501" s="37"/>
      <c r="H501" s="37"/>
      <c r="I501" s="37"/>
      <c r="J501" s="37"/>
      <c r="K501" s="37"/>
      <c r="L501" s="37"/>
      <c r="M501" s="37"/>
      <c r="N501" s="37"/>
      <c r="O501" s="37"/>
      <c r="P501" s="37"/>
      <c r="Q501" s="27"/>
      <c r="R501" s="27"/>
      <c r="S501" s="27"/>
      <c r="T501" s="27"/>
      <c r="U501" s="27"/>
      <c r="V501" s="27"/>
      <c r="W501" s="27"/>
    </row>
    <row r="502" spans="1:23" ht="15" customHeight="1" x14ac:dyDescent="0.2">
      <c r="A502" s="37"/>
      <c r="B502" s="37"/>
      <c r="C502" s="37"/>
      <c r="D502" s="37"/>
      <c r="E502" s="37"/>
      <c r="F502" s="37"/>
      <c r="G502" s="37"/>
      <c r="H502" s="37"/>
      <c r="I502" s="37"/>
      <c r="J502" s="37"/>
      <c r="K502" s="37"/>
      <c r="L502" s="37"/>
      <c r="M502" s="37"/>
      <c r="N502" s="37"/>
      <c r="O502" s="37"/>
      <c r="P502" s="37"/>
      <c r="Q502" s="27"/>
      <c r="R502" s="27"/>
      <c r="S502" s="27"/>
      <c r="T502" s="27"/>
      <c r="U502" s="27"/>
      <c r="V502" s="27"/>
      <c r="W502" s="27"/>
    </row>
    <row r="503" spans="1:23" ht="15" customHeight="1" x14ac:dyDescent="0.2">
      <c r="A503" s="37"/>
      <c r="B503" s="37"/>
      <c r="C503" s="37"/>
      <c r="D503" s="37"/>
      <c r="E503" s="37"/>
      <c r="F503" s="37"/>
      <c r="G503" s="37"/>
      <c r="H503" s="37"/>
      <c r="I503" s="37"/>
      <c r="J503" s="37"/>
      <c r="K503" s="37"/>
      <c r="L503" s="37"/>
      <c r="M503" s="37"/>
      <c r="N503" s="37"/>
      <c r="O503" s="37"/>
      <c r="P503" s="37"/>
      <c r="Q503" s="27"/>
      <c r="R503" s="27"/>
      <c r="S503" s="27"/>
      <c r="T503" s="27"/>
      <c r="U503" s="27"/>
      <c r="V503" s="27"/>
      <c r="W503" s="27"/>
    </row>
    <row r="504" spans="1:23" ht="15" customHeight="1" x14ac:dyDescent="0.2">
      <c r="A504" s="37"/>
      <c r="B504" s="37"/>
      <c r="C504" s="37"/>
      <c r="D504" s="37"/>
      <c r="E504" s="37"/>
      <c r="F504" s="37"/>
      <c r="G504" s="37"/>
      <c r="H504" s="37"/>
      <c r="I504" s="37"/>
      <c r="J504" s="37"/>
      <c r="K504" s="37"/>
      <c r="L504" s="37"/>
      <c r="M504" s="37"/>
      <c r="N504" s="37"/>
      <c r="O504" s="37"/>
      <c r="P504" s="37"/>
      <c r="Q504" s="27"/>
      <c r="R504" s="27"/>
      <c r="S504" s="27"/>
      <c r="T504" s="27"/>
      <c r="U504" s="27"/>
      <c r="V504" s="27"/>
      <c r="W504" s="27"/>
    </row>
    <row r="505" spans="1:23" ht="15" customHeight="1" x14ac:dyDescent="0.2">
      <c r="A505" s="37"/>
      <c r="B505" s="37"/>
      <c r="C505" s="37"/>
      <c r="D505" s="37"/>
      <c r="E505" s="37"/>
      <c r="F505" s="37"/>
      <c r="G505" s="37"/>
      <c r="H505" s="37"/>
      <c r="I505" s="37"/>
      <c r="J505" s="37"/>
      <c r="K505" s="37"/>
      <c r="L505" s="37"/>
      <c r="M505" s="37"/>
      <c r="N505" s="37"/>
      <c r="O505" s="37"/>
      <c r="P505" s="37"/>
      <c r="Q505" s="27"/>
      <c r="R505" s="27"/>
      <c r="S505" s="27"/>
      <c r="T505" s="27"/>
      <c r="U505" s="27"/>
      <c r="V505" s="27"/>
      <c r="W505" s="27"/>
    </row>
    <row r="506" spans="1:23" ht="15" customHeight="1" x14ac:dyDescent="0.2">
      <c r="A506" s="37"/>
      <c r="B506" s="37"/>
      <c r="C506" s="37"/>
      <c r="D506" s="37"/>
      <c r="E506" s="37"/>
      <c r="F506" s="37"/>
      <c r="G506" s="37"/>
      <c r="H506" s="37"/>
      <c r="I506" s="37"/>
      <c r="J506" s="37"/>
      <c r="K506" s="37"/>
      <c r="L506" s="37"/>
      <c r="M506" s="37"/>
      <c r="N506" s="37"/>
      <c r="O506" s="37"/>
      <c r="P506" s="37"/>
      <c r="Q506" s="27"/>
      <c r="R506" s="27"/>
      <c r="S506" s="27"/>
      <c r="T506" s="27"/>
      <c r="U506" s="27"/>
      <c r="V506" s="27"/>
      <c r="W506" s="27"/>
    </row>
    <row r="507" spans="1:23" ht="15" customHeight="1" x14ac:dyDescent="0.2">
      <c r="A507" s="37"/>
      <c r="B507" s="37"/>
      <c r="C507" s="37"/>
      <c r="D507" s="37"/>
      <c r="E507" s="37"/>
      <c r="F507" s="37"/>
      <c r="G507" s="37"/>
      <c r="H507" s="37"/>
      <c r="I507" s="37"/>
      <c r="J507" s="37"/>
      <c r="K507" s="37"/>
      <c r="L507" s="37"/>
      <c r="M507" s="37"/>
      <c r="N507" s="37"/>
      <c r="O507" s="37"/>
      <c r="P507" s="37"/>
      <c r="Q507" s="27"/>
      <c r="R507" s="27"/>
      <c r="S507" s="27"/>
      <c r="T507" s="27"/>
      <c r="U507" s="27"/>
      <c r="V507" s="27"/>
      <c r="W507" s="27"/>
    </row>
    <row r="508" spans="1:23" ht="15" customHeight="1" x14ac:dyDescent="0.2">
      <c r="A508" s="37"/>
      <c r="B508" s="37"/>
      <c r="C508" s="37"/>
      <c r="D508" s="37"/>
      <c r="E508" s="37"/>
      <c r="F508" s="37"/>
      <c r="G508" s="37"/>
      <c r="H508" s="37"/>
      <c r="I508" s="37"/>
      <c r="J508" s="37"/>
      <c r="K508" s="37"/>
      <c r="L508" s="37"/>
      <c r="M508" s="37"/>
      <c r="N508" s="37"/>
      <c r="O508" s="37"/>
      <c r="P508" s="37"/>
      <c r="Q508" s="27"/>
      <c r="R508" s="27"/>
      <c r="S508" s="27"/>
      <c r="T508" s="27"/>
      <c r="U508" s="27"/>
      <c r="V508" s="27"/>
      <c r="W508" s="27"/>
    </row>
    <row r="509" spans="1:23" ht="15" customHeight="1" x14ac:dyDescent="0.2">
      <c r="A509" s="37"/>
      <c r="B509" s="37"/>
      <c r="C509" s="37"/>
      <c r="D509" s="37"/>
      <c r="E509" s="37"/>
      <c r="F509" s="37"/>
      <c r="G509" s="37"/>
      <c r="H509" s="37"/>
      <c r="I509" s="37"/>
      <c r="J509" s="37"/>
      <c r="K509" s="37"/>
      <c r="L509" s="37"/>
      <c r="M509" s="37"/>
      <c r="N509" s="37"/>
      <c r="O509" s="37"/>
      <c r="P509" s="37"/>
      <c r="Q509" s="27"/>
      <c r="R509" s="27"/>
      <c r="S509" s="27"/>
      <c r="T509" s="27"/>
      <c r="U509" s="27"/>
      <c r="V509" s="27"/>
      <c r="W509" s="27"/>
    </row>
    <row r="510" spans="1:23" ht="15" customHeight="1" x14ac:dyDescent="0.2">
      <c r="A510" s="37"/>
      <c r="B510" s="37"/>
      <c r="C510" s="37"/>
      <c r="D510" s="37"/>
      <c r="E510" s="37"/>
      <c r="F510" s="37"/>
      <c r="G510" s="37"/>
      <c r="H510" s="37"/>
      <c r="I510" s="37"/>
      <c r="J510" s="37"/>
      <c r="K510" s="37"/>
      <c r="L510" s="37"/>
      <c r="M510" s="37"/>
      <c r="N510" s="37"/>
      <c r="O510" s="37"/>
      <c r="P510" s="37"/>
      <c r="Q510" s="27"/>
      <c r="R510" s="27"/>
      <c r="S510" s="27"/>
      <c r="T510" s="27"/>
      <c r="U510" s="27"/>
      <c r="V510" s="27"/>
      <c r="W510" s="27"/>
    </row>
    <row r="511" spans="1:23" ht="15" customHeight="1" x14ac:dyDescent="0.2">
      <c r="A511" s="37"/>
      <c r="B511" s="37"/>
      <c r="C511" s="37"/>
      <c r="D511" s="37"/>
      <c r="E511" s="37"/>
      <c r="F511" s="37"/>
      <c r="G511" s="37"/>
      <c r="H511" s="37"/>
      <c r="I511" s="37"/>
      <c r="J511" s="37"/>
      <c r="K511" s="37"/>
      <c r="L511" s="37"/>
      <c r="M511" s="37"/>
      <c r="N511" s="37"/>
      <c r="O511" s="37"/>
      <c r="P511" s="37"/>
      <c r="Q511" s="27"/>
      <c r="R511" s="27"/>
      <c r="S511" s="27"/>
      <c r="T511" s="27"/>
      <c r="U511" s="27"/>
      <c r="V511" s="27"/>
      <c r="W511" s="27"/>
    </row>
    <row r="512" spans="1:23" ht="15" customHeight="1" x14ac:dyDescent="0.2">
      <c r="A512" s="37"/>
      <c r="B512" s="37"/>
      <c r="C512" s="37"/>
      <c r="D512" s="37"/>
      <c r="E512" s="37"/>
      <c r="F512" s="37"/>
      <c r="G512" s="37"/>
      <c r="H512" s="37"/>
      <c r="I512" s="37"/>
      <c r="J512" s="37"/>
      <c r="K512" s="37"/>
      <c r="L512" s="37"/>
      <c r="M512" s="37"/>
      <c r="N512" s="37"/>
      <c r="O512" s="37"/>
      <c r="P512" s="37"/>
      <c r="Q512" s="27"/>
      <c r="R512" s="27"/>
      <c r="S512" s="27"/>
      <c r="T512" s="27"/>
      <c r="U512" s="27"/>
      <c r="V512" s="27"/>
      <c r="W512" s="27"/>
    </row>
    <row r="513" spans="1:23" ht="15" customHeight="1" x14ac:dyDescent="0.2">
      <c r="A513" s="37"/>
      <c r="B513" s="37"/>
      <c r="C513" s="37"/>
      <c r="D513" s="37"/>
      <c r="E513" s="37"/>
      <c r="F513" s="37"/>
      <c r="G513" s="37"/>
      <c r="H513" s="37"/>
      <c r="I513" s="37"/>
      <c r="J513" s="37"/>
      <c r="K513" s="37"/>
      <c r="L513" s="37"/>
      <c r="M513" s="37"/>
      <c r="N513" s="37"/>
      <c r="O513" s="37"/>
      <c r="P513" s="37"/>
      <c r="Q513" s="27"/>
      <c r="R513" s="27"/>
      <c r="S513" s="27"/>
      <c r="T513" s="27"/>
      <c r="U513" s="27"/>
      <c r="V513" s="27"/>
      <c r="W513" s="27"/>
    </row>
    <row r="514" spans="1:23" ht="15" customHeight="1" x14ac:dyDescent="0.2">
      <c r="A514" s="37"/>
      <c r="B514" s="37"/>
      <c r="C514" s="37"/>
      <c r="D514" s="37"/>
      <c r="E514" s="37"/>
      <c r="F514" s="37"/>
      <c r="G514" s="37"/>
      <c r="H514" s="37"/>
      <c r="I514" s="37"/>
      <c r="J514" s="37"/>
      <c r="K514" s="37"/>
      <c r="L514" s="37"/>
      <c r="M514" s="37"/>
      <c r="N514" s="37"/>
      <c r="O514" s="37"/>
      <c r="P514" s="37"/>
      <c r="Q514" s="27"/>
      <c r="R514" s="27"/>
      <c r="S514" s="27"/>
      <c r="T514" s="27"/>
      <c r="U514" s="27"/>
      <c r="V514" s="27"/>
      <c r="W514" s="27"/>
    </row>
    <row r="515" spans="1:23" ht="15" customHeight="1" x14ac:dyDescent="0.2">
      <c r="A515" s="37"/>
      <c r="B515" s="37"/>
      <c r="C515" s="37"/>
      <c r="D515" s="37"/>
      <c r="E515" s="37"/>
      <c r="F515" s="37"/>
      <c r="G515" s="37"/>
      <c r="H515" s="37"/>
      <c r="I515" s="37"/>
      <c r="J515" s="37"/>
      <c r="K515" s="37"/>
      <c r="L515" s="37"/>
      <c r="M515" s="37"/>
      <c r="N515" s="37"/>
      <c r="O515" s="37"/>
      <c r="P515" s="37"/>
      <c r="Q515" s="27"/>
      <c r="R515" s="27"/>
      <c r="S515" s="27"/>
      <c r="T515" s="27"/>
      <c r="U515" s="27"/>
      <c r="V515" s="27"/>
      <c r="W515" s="27"/>
    </row>
    <row r="516" spans="1:23" ht="15" customHeight="1" x14ac:dyDescent="0.2">
      <c r="A516" s="37"/>
      <c r="B516" s="37"/>
      <c r="C516" s="37"/>
      <c r="D516" s="37"/>
      <c r="E516" s="37"/>
      <c r="F516" s="37"/>
      <c r="G516" s="37"/>
      <c r="H516" s="37"/>
      <c r="I516" s="37"/>
      <c r="J516" s="37"/>
      <c r="K516" s="37"/>
      <c r="L516" s="37"/>
      <c r="M516" s="37"/>
      <c r="N516" s="37"/>
      <c r="O516" s="37"/>
      <c r="P516" s="37"/>
      <c r="Q516" s="27"/>
      <c r="R516" s="27"/>
      <c r="S516" s="27"/>
      <c r="T516" s="27"/>
      <c r="U516" s="27"/>
      <c r="V516" s="27"/>
      <c r="W516" s="27"/>
    </row>
    <row r="517" spans="1:23" ht="15" customHeight="1" x14ac:dyDescent="0.2">
      <c r="A517" s="37"/>
      <c r="B517" s="37"/>
      <c r="C517" s="37"/>
      <c r="D517" s="37"/>
      <c r="E517" s="37"/>
      <c r="F517" s="37"/>
      <c r="G517" s="37"/>
      <c r="H517" s="37"/>
      <c r="I517" s="37"/>
      <c r="J517" s="37"/>
      <c r="K517" s="37"/>
      <c r="L517" s="37"/>
      <c r="M517" s="37"/>
      <c r="N517" s="37"/>
      <c r="O517" s="37"/>
      <c r="P517" s="37"/>
      <c r="Q517" s="27"/>
      <c r="R517" s="27"/>
      <c r="S517" s="27"/>
      <c r="T517" s="27"/>
      <c r="U517" s="27"/>
      <c r="V517" s="27"/>
      <c r="W517" s="27"/>
    </row>
    <row r="518" spans="1:23" ht="15" customHeight="1" x14ac:dyDescent="0.2">
      <c r="A518" s="37"/>
      <c r="B518" s="37"/>
      <c r="C518" s="37"/>
      <c r="D518" s="37"/>
      <c r="E518" s="37"/>
      <c r="F518" s="37"/>
      <c r="G518" s="37"/>
      <c r="H518" s="37"/>
      <c r="I518" s="37"/>
      <c r="J518" s="37"/>
      <c r="K518" s="37"/>
      <c r="L518" s="37"/>
      <c r="M518" s="37"/>
      <c r="N518" s="37"/>
      <c r="O518" s="37"/>
      <c r="P518" s="37"/>
      <c r="Q518" s="27"/>
      <c r="R518" s="27"/>
      <c r="S518" s="27"/>
      <c r="T518" s="27"/>
      <c r="U518" s="27"/>
      <c r="V518" s="27"/>
      <c r="W518" s="27"/>
    </row>
    <row r="519" spans="1:23" ht="15" customHeight="1" x14ac:dyDescent="0.2">
      <c r="A519" s="37"/>
      <c r="B519" s="37"/>
      <c r="C519" s="37"/>
      <c r="D519" s="37"/>
      <c r="E519" s="37"/>
      <c r="F519" s="37"/>
      <c r="G519" s="37"/>
      <c r="H519" s="37"/>
      <c r="I519" s="37"/>
      <c r="J519" s="37"/>
      <c r="K519" s="37"/>
      <c r="L519" s="37"/>
      <c r="M519" s="37"/>
      <c r="N519" s="37"/>
      <c r="O519" s="37"/>
      <c r="P519" s="37"/>
      <c r="Q519" s="27"/>
      <c r="R519" s="27"/>
      <c r="S519" s="27"/>
      <c r="T519" s="27"/>
      <c r="U519" s="27"/>
      <c r="V519" s="27"/>
      <c r="W519" s="27"/>
    </row>
    <row r="520" spans="1:23" ht="15" customHeight="1" x14ac:dyDescent="0.2">
      <c r="A520" s="37"/>
      <c r="B520" s="37"/>
      <c r="C520" s="37"/>
      <c r="D520" s="37"/>
      <c r="E520" s="37"/>
      <c r="F520" s="37"/>
      <c r="G520" s="37"/>
      <c r="H520" s="37"/>
      <c r="I520" s="37"/>
      <c r="J520" s="37"/>
      <c r="K520" s="37"/>
      <c r="L520" s="37"/>
      <c r="M520" s="37"/>
      <c r="N520" s="37"/>
      <c r="O520" s="37"/>
      <c r="P520" s="37"/>
      <c r="Q520" s="27"/>
      <c r="R520" s="27"/>
      <c r="S520" s="27"/>
      <c r="T520" s="27"/>
      <c r="U520" s="27"/>
      <c r="V520" s="27"/>
      <c r="W520" s="27"/>
    </row>
    <row r="521" spans="1:23" ht="15" customHeight="1" x14ac:dyDescent="0.2">
      <c r="A521" s="37"/>
      <c r="B521" s="37"/>
      <c r="C521" s="37"/>
      <c r="D521" s="37"/>
      <c r="E521" s="37"/>
      <c r="F521" s="37"/>
      <c r="G521" s="37"/>
      <c r="H521" s="37"/>
      <c r="I521" s="37"/>
      <c r="J521" s="37"/>
      <c r="K521" s="37"/>
      <c r="L521" s="37"/>
      <c r="M521" s="37"/>
      <c r="N521" s="37"/>
      <c r="O521" s="37"/>
      <c r="P521" s="37"/>
      <c r="Q521" s="27"/>
      <c r="R521" s="27"/>
      <c r="S521" s="27"/>
      <c r="T521" s="27"/>
      <c r="U521" s="27"/>
      <c r="V521" s="27"/>
      <c r="W521" s="27"/>
    </row>
    <row r="522" spans="1:23" ht="15" customHeight="1" x14ac:dyDescent="0.2">
      <c r="A522" s="37"/>
      <c r="B522" s="37"/>
      <c r="C522" s="37"/>
      <c r="D522" s="37"/>
      <c r="E522" s="37"/>
      <c r="F522" s="37"/>
      <c r="G522" s="37"/>
      <c r="H522" s="37"/>
      <c r="I522" s="37"/>
      <c r="J522" s="37"/>
      <c r="K522" s="37"/>
      <c r="L522" s="37"/>
      <c r="M522" s="37"/>
      <c r="N522" s="37"/>
      <c r="O522" s="37"/>
      <c r="P522" s="37"/>
      <c r="Q522" s="27"/>
      <c r="R522" s="27"/>
      <c r="S522" s="27"/>
      <c r="T522" s="27"/>
      <c r="U522" s="27"/>
      <c r="V522" s="27"/>
      <c r="W522" s="27"/>
    </row>
    <row r="523" spans="1:23" ht="15" customHeight="1" x14ac:dyDescent="0.2">
      <c r="A523" s="37"/>
      <c r="B523" s="37"/>
      <c r="C523" s="37"/>
      <c r="D523" s="37"/>
      <c r="E523" s="37"/>
      <c r="F523" s="37"/>
      <c r="G523" s="37"/>
      <c r="H523" s="37"/>
      <c r="I523" s="37"/>
      <c r="J523" s="37"/>
      <c r="K523" s="37"/>
      <c r="L523" s="37"/>
      <c r="M523" s="37"/>
      <c r="N523" s="37"/>
      <c r="O523" s="37"/>
      <c r="P523" s="37"/>
      <c r="Q523" s="27"/>
      <c r="R523" s="27"/>
      <c r="S523" s="27"/>
      <c r="T523" s="27"/>
      <c r="U523" s="27"/>
      <c r="V523" s="27"/>
      <c r="W523" s="27"/>
    </row>
    <row r="524" spans="1:23" ht="15" customHeight="1" x14ac:dyDescent="0.2">
      <c r="A524" s="37"/>
      <c r="B524" s="37"/>
      <c r="C524" s="37"/>
      <c r="D524" s="37"/>
      <c r="E524" s="37"/>
      <c r="F524" s="37"/>
      <c r="G524" s="37"/>
      <c r="H524" s="37"/>
      <c r="I524" s="37"/>
      <c r="J524" s="37"/>
      <c r="K524" s="37"/>
      <c r="L524" s="37"/>
      <c r="M524" s="37"/>
      <c r="N524" s="37"/>
      <c r="O524" s="37"/>
      <c r="P524" s="37"/>
      <c r="Q524" s="27"/>
      <c r="R524" s="27"/>
      <c r="S524" s="27"/>
      <c r="T524" s="27"/>
      <c r="U524" s="27"/>
      <c r="V524" s="27"/>
      <c r="W524" s="27"/>
    </row>
    <row r="525" spans="1:23" ht="15" customHeight="1" x14ac:dyDescent="0.2">
      <c r="A525" s="37"/>
      <c r="B525" s="37"/>
      <c r="C525" s="37"/>
      <c r="D525" s="37"/>
      <c r="E525" s="37"/>
      <c r="F525" s="37"/>
      <c r="G525" s="37"/>
      <c r="H525" s="37"/>
      <c r="I525" s="37"/>
      <c r="J525" s="37"/>
      <c r="K525" s="37"/>
      <c r="L525" s="37"/>
      <c r="M525" s="37"/>
      <c r="N525" s="37"/>
      <c r="O525" s="37"/>
      <c r="P525" s="37"/>
      <c r="Q525" s="27"/>
      <c r="R525" s="27"/>
      <c r="S525" s="27"/>
      <c r="T525" s="27"/>
      <c r="U525" s="27"/>
      <c r="V525" s="27"/>
      <c r="W525" s="27"/>
    </row>
    <row r="526" spans="1:23" ht="15" customHeight="1" x14ac:dyDescent="0.2">
      <c r="A526" s="37"/>
      <c r="B526" s="37"/>
      <c r="C526" s="37"/>
      <c r="D526" s="37"/>
      <c r="E526" s="37"/>
      <c r="F526" s="37"/>
      <c r="G526" s="37"/>
      <c r="H526" s="37"/>
      <c r="I526" s="37"/>
      <c r="J526" s="37"/>
      <c r="K526" s="37"/>
      <c r="L526" s="37"/>
      <c r="M526" s="37"/>
      <c r="N526" s="37"/>
      <c r="O526" s="37"/>
      <c r="P526" s="37"/>
      <c r="Q526" s="27"/>
      <c r="R526" s="27"/>
      <c r="S526" s="27"/>
      <c r="T526" s="27"/>
      <c r="U526" s="27"/>
      <c r="V526" s="27"/>
      <c r="W526" s="27"/>
    </row>
    <row r="527" spans="1:23" ht="15" customHeight="1" x14ac:dyDescent="0.2">
      <c r="A527" s="37"/>
      <c r="B527" s="37"/>
      <c r="C527" s="37"/>
      <c r="D527" s="37"/>
      <c r="E527" s="37"/>
      <c r="F527" s="37"/>
      <c r="G527" s="37"/>
      <c r="H527" s="37"/>
      <c r="I527" s="37"/>
      <c r="J527" s="37"/>
      <c r="K527" s="37"/>
      <c r="L527" s="37"/>
      <c r="M527" s="37"/>
      <c r="N527" s="37"/>
      <c r="O527" s="37"/>
      <c r="P527" s="37"/>
      <c r="Q527" s="27"/>
      <c r="R527" s="27"/>
      <c r="S527" s="27"/>
      <c r="T527" s="27"/>
      <c r="U527" s="27"/>
      <c r="V527" s="27"/>
      <c r="W527" s="27"/>
    </row>
    <row r="528" spans="1:23" ht="15" customHeight="1" x14ac:dyDescent="0.2">
      <c r="A528" s="37"/>
      <c r="B528" s="37"/>
      <c r="C528" s="37"/>
      <c r="D528" s="37"/>
      <c r="E528" s="37"/>
      <c r="F528" s="37"/>
      <c r="G528" s="37"/>
      <c r="H528" s="37"/>
      <c r="I528" s="37"/>
      <c r="J528" s="37"/>
      <c r="K528" s="37"/>
      <c r="L528" s="37"/>
      <c r="M528" s="37"/>
      <c r="N528" s="37"/>
      <c r="O528" s="37"/>
      <c r="P528" s="37"/>
      <c r="Q528" s="27"/>
      <c r="R528" s="27"/>
      <c r="S528" s="27"/>
      <c r="T528" s="27"/>
      <c r="U528" s="27"/>
      <c r="V528" s="27"/>
      <c r="W528" s="27"/>
    </row>
    <row r="529" spans="1:23" ht="15" customHeight="1" x14ac:dyDescent="0.2">
      <c r="A529" s="37"/>
      <c r="B529" s="37"/>
      <c r="C529" s="37"/>
      <c r="D529" s="37"/>
      <c r="E529" s="37"/>
      <c r="F529" s="37"/>
      <c r="G529" s="37"/>
      <c r="H529" s="37"/>
      <c r="I529" s="37"/>
      <c r="J529" s="37"/>
      <c r="K529" s="37"/>
      <c r="L529" s="37"/>
      <c r="M529" s="37"/>
      <c r="N529" s="37"/>
      <c r="O529" s="37"/>
      <c r="P529" s="37"/>
      <c r="Q529" s="27"/>
      <c r="R529" s="27"/>
      <c r="S529" s="27"/>
      <c r="T529" s="27"/>
      <c r="U529" s="27"/>
      <c r="V529" s="27"/>
      <c r="W529" s="27"/>
    </row>
    <row r="530" spans="1:23" ht="15" customHeight="1" x14ac:dyDescent="0.2">
      <c r="A530" s="37"/>
      <c r="B530" s="37"/>
      <c r="C530" s="37"/>
      <c r="D530" s="37"/>
      <c r="E530" s="37"/>
      <c r="F530" s="37"/>
      <c r="G530" s="37"/>
      <c r="H530" s="37"/>
      <c r="I530" s="37"/>
      <c r="J530" s="37"/>
      <c r="K530" s="37"/>
      <c r="L530" s="37"/>
      <c r="M530" s="37"/>
      <c r="N530" s="37"/>
      <c r="O530" s="37"/>
      <c r="P530" s="37"/>
      <c r="Q530" s="27"/>
      <c r="R530" s="27"/>
      <c r="S530" s="27"/>
      <c r="T530" s="27"/>
      <c r="U530" s="27"/>
      <c r="V530" s="27"/>
      <c r="W530" s="27"/>
    </row>
    <row r="531" spans="1:23" ht="15" customHeight="1" x14ac:dyDescent="0.2">
      <c r="A531" s="37"/>
      <c r="B531" s="37"/>
      <c r="C531" s="37"/>
      <c r="D531" s="37"/>
      <c r="E531" s="37"/>
      <c r="F531" s="37"/>
      <c r="G531" s="37"/>
      <c r="H531" s="37"/>
      <c r="I531" s="37"/>
      <c r="J531" s="37"/>
      <c r="K531" s="37"/>
      <c r="L531" s="37"/>
      <c r="M531" s="37"/>
      <c r="N531" s="37"/>
      <c r="O531" s="37"/>
      <c r="P531" s="37"/>
      <c r="Q531" s="27"/>
      <c r="R531" s="27"/>
      <c r="S531" s="27"/>
      <c r="T531" s="27"/>
      <c r="U531" s="27"/>
      <c r="V531" s="27"/>
      <c r="W531" s="27"/>
    </row>
    <row r="532" spans="1:23" ht="15" customHeight="1" x14ac:dyDescent="0.2">
      <c r="A532" s="37"/>
      <c r="B532" s="37"/>
      <c r="C532" s="37"/>
      <c r="D532" s="37"/>
      <c r="E532" s="37"/>
      <c r="F532" s="37"/>
      <c r="G532" s="37"/>
      <c r="H532" s="37"/>
      <c r="I532" s="37"/>
      <c r="J532" s="37"/>
      <c r="K532" s="37"/>
      <c r="L532" s="37"/>
      <c r="M532" s="37"/>
      <c r="N532" s="37"/>
      <c r="O532" s="37"/>
      <c r="P532" s="37"/>
      <c r="Q532" s="27"/>
      <c r="R532" s="27"/>
      <c r="S532" s="27"/>
      <c r="T532" s="27"/>
      <c r="U532" s="27"/>
      <c r="V532" s="27"/>
      <c r="W532" s="27"/>
    </row>
    <row r="533" spans="1:23" ht="15" customHeight="1" x14ac:dyDescent="0.2">
      <c r="A533" s="37"/>
      <c r="B533" s="37"/>
      <c r="C533" s="37"/>
      <c r="D533" s="37"/>
      <c r="E533" s="37"/>
      <c r="F533" s="37"/>
      <c r="G533" s="37"/>
      <c r="H533" s="37"/>
      <c r="I533" s="37"/>
      <c r="J533" s="37"/>
      <c r="K533" s="37"/>
      <c r="L533" s="37"/>
      <c r="M533" s="37"/>
      <c r="N533" s="37"/>
      <c r="O533" s="37"/>
      <c r="P533" s="37"/>
      <c r="Q533" s="27"/>
      <c r="R533" s="27"/>
      <c r="S533" s="27"/>
      <c r="T533" s="27"/>
      <c r="U533" s="27"/>
      <c r="V533" s="27"/>
      <c r="W533" s="27"/>
    </row>
    <row r="534" spans="1:23" ht="15" customHeight="1" x14ac:dyDescent="0.2">
      <c r="A534" s="37"/>
      <c r="B534" s="37"/>
      <c r="C534" s="37"/>
      <c r="D534" s="37"/>
      <c r="E534" s="37"/>
      <c r="F534" s="37"/>
      <c r="G534" s="37"/>
      <c r="H534" s="37"/>
      <c r="I534" s="37"/>
      <c r="J534" s="37"/>
      <c r="K534" s="37"/>
      <c r="L534" s="37"/>
      <c r="M534" s="37"/>
      <c r="N534" s="37"/>
      <c r="O534" s="37"/>
      <c r="P534" s="37"/>
      <c r="Q534" s="27"/>
      <c r="R534" s="27"/>
      <c r="S534" s="27"/>
      <c r="T534" s="27"/>
      <c r="U534" s="27"/>
      <c r="V534" s="27"/>
      <c r="W534" s="27"/>
    </row>
    <row r="535" spans="1:23" ht="15" customHeight="1" x14ac:dyDescent="0.2">
      <c r="A535" s="37"/>
      <c r="B535" s="37"/>
      <c r="C535" s="37"/>
      <c r="D535" s="37"/>
      <c r="E535" s="37"/>
      <c r="F535" s="37"/>
      <c r="G535" s="37"/>
      <c r="H535" s="37"/>
      <c r="I535" s="37"/>
      <c r="J535" s="37"/>
      <c r="K535" s="37"/>
      <c r="L535" s="37"/>
      <c r="M535" s="37"/>
      <c r="N535" s="37"/>
      <c r="O535" s="37"/>
      <c r="P535" s="37"/>
      <c r="Q535" s="27"/>
      <c r="R535" s="27"/>
      <c r="S535" s="27"/>
      <c r="T535" s="27"/>
      <c r="U535" s="27"/>
      <c r="V535" s="27"/>
      <c r="W535" s="27"/>
    </row>
    <row r="536" spans="1:23" ht="15" customHeight="1" x14ac:dyDescent="0.2">
      <c r="A536" s="37"/>
      <c r="B536" s="37"/>
      <c r="C536" s="37"/>
      <c r="D536" s="37"/>
      <c r="E536" s="37"/>
      <c r="F536" s="37"/>
      <c r="G536" s="37"/>
      <c r="H536" s="37"/>
      <c r="I536" s="37"/>
      <c r="J536" s="37"/>
      <c r="K536" s="37"/>
      <c r="L536" s="37"/>
      <c r="M536" s="37"/>
      <c r="N536" s="37"/>
      <c r="O536" s="37"/>
      <c r="P536" s="37"/>
      <c r="Q536" s="27"/>
      <c r="R536" s="27"/>
      <c r="S536" s="27"/>
      <c r="T536" s="27"/>
      <c r="U536" s="27"/>
      <c r="V536" s="27"/>
      <c r="W536" s="27"/>
    </row>
    <row r="537" spans="1:23" ht="15" customHeight="1" x14ac:dyDescent="0.2">
      <c r="A537" s="37"/>
      <c r="B537" s="37"/>
      <c r="C537" s="37"/>
      <c r="D537" s="37"/>
      <c r="E537" s="37"/>
      <c r="F537" s="37"/>
      <c r="G537" s="37"/>
      <c r="H537" s="37"/>
      <c r="I537" s="37"/>
      <c r="J537" s="37"/>
      <c r="K537" s="37"/>
      <c r="L537" s="37"/>
      <c r="M537" s="37"/>
      <c r="N537" s="37"/>
      <c r="O537" s="37"/>
      <c r="P537" s="37"/>
      <c r="Q537" s="27"/>
      <c r="R537" s="27"/>
      <c r="S537" s="27"/>
      <c r="T537" s="27"/>
      <c r="U537" s="27"/>
      <c r="V537" s="27"/>
      <c r="W537" s="27"/>
    </row>
    <row r="538" spans="1:23" ht="15" customHeight="1" x14ac:dyDescent="0.2">
      <c r="A538" s="37"/>
      <c r="B538" s="37"/>
      <c r="C538" s="37"/>
      <c r="D538" s="37"/>
      <c r="E538" s="37"/>
      <c r="F538" s="37"/>
      <c r="G538" s="37"/>
      <c r="H538" s="37"/>
      <c r="I538" s="37"/>
      <c r="J538" s="37"/>
      <c r="K538" s="37"/>
      <c r="L538" s="37"/>
      <c r="M538" s="37"/>
      <c r="N538" s="37"/>
      <c r="O538" s="37"/>
      <c r="P538" s="37"/>
      <c r="Q538" s="27"/>
      <c r="R538" s="27"/>
      <c r="S538" s="27"/>
      <c r="T538" s="27"/>
      <c r="U538" s="27"/>
      <c r="V538" s="27"/>
      <c r="W538" s="27"/>
    </row>
    <row r="539" spans="1:23" ht="15" customHeight="1" x14ac:dyDescent="0.2">
      <c r="A539" s="37"/>
      <c r="B539" s="37"/>
      <c r="C539" s="37"/>
      <c r="D539" s="37"/>
      <c r="E539" s="37"/>
      <c r="F539" s="37"/>
      <c r="G539" s="37"/>
      <c r="H539" s="37"/>
      <c r="I539" s="37"/>
      <c r="J539" s="37"/>
      <c r="K539" s="37"/>
      <c r="L539" s="37"/>
      <c r="M539" s="37"/>
      <c r="N539" s="37"/>
      <c r="O539" s="37"/>
      <c r="P539" s="37"/>
      <c r="Q539" s="27"/>
      <c r="R539" s="27"/>
      <c r="S539" s="27"/>
      <c r="T539" s="27"/>
      <c r="U539" s="27"/>
      <c r="V539" s="27"/>
      <c r="W539" s="27"/>
    </row>
    <row r="540" spans="1:23" ht="15" customHeight="1" x14ac:dyDescent="0.2">
      <c r="A540" s="37"/>
      <c r="B540" s="37"/>
      <c r="C540" s="37"/>
      <c r="D540" s="37"/>
      <c r="E540" s="37"/>
      <c r="F540" s="37"/>
      <c r="G540" s="37"/>
      <c r="H540" s="37"/>
      <c r="I540" s="37"/>
      <c r="J540" s="37"/>
      <c r="K540" s="37"/>
      <c r="L540" s="37"/>
      <c r="M540" s="37"/>
      <c r="N540" s="37"/>
      <c r="O540" s="37"/>
      <c r="P540" s="37"/>
      <c r="Q540" s="27"/>
      <c r="R540" s="27"/>
      <c r="S540" s="27"/>
      <c r="T540" s="27"/>
      <c r="U540" s="27"/>
      <c r="V540" s="27"/>
      <c r="W540" s="27"/>
    </row>
    <row r="541" spans="1:23" ht="15" customHeight="1" x14ac:dyDescent="0.2">
      <c r="A541" s="37"/>
      <c r="B541" s="37"/>
      <c r="C541" s="37"/>
      <c r="D541" s="37"/>
      <c r="E541" s="37"/>
      <c r="F541" s="37"/>
      <c r="G541" s="37"/>
      <c r="H541" s="37"/>
      <c r="I541" s="37"/>
      <c r="J541" s="37"/>
      <c r="K541" s="37"/>
      <c r="L541" s="37"/>
      <c r="M541" s="37"/>
      <c r="N541" s="37"/>
      <c r="O541" s="37"/>
      <c r="P541" s="37"/>
      <c r="Q541" s="27"/>
      <c r="R541" s="27"/>
      <c r="S541" s="27"/>
      <c r="T541" s="27"/>
      <c r="U541" s="27"/>
      <c r="V541" s="27"/>
      <c r="W541" s="27"/>
    </row>
    <row r="542" spans="1:23" ht="15" customHeight="1" x14ac:dyDescent="0.2">
      <c r="A542" s="37"/>
      <c r="B542" s="37"/>
      <c r="C542" s="37"/>
      <c r="D542" s="37"/>
      <c r="E542" s="37"/>
      <c r="F542" s="37"/>
      <c r="G542" s="37"/>
      <c r="H542" s="37"/>
      <c r="I542" s="37"/>
      <c r="J542" s="37"/>
      <c r="K542" s="37"/>
      <c r="L542" s="37"/>
      <c r="M542" s="37"/>
      <c r="N542" s="37"/>
      <c r="O542" s="37"/>
      <c r="P542" s="37"/>
      <c r="Q542" s="27"/>
      <c r="R542" s="27"/>
      <c r="S542" s="27"/>
      <c r="T542" s="27"/>
      <c r="U542" s="27"/>
      <c r="V542" s="27"/>
      <c r="W542" s="27"/>
    </row>
    <row r="543" spans="1:23" ht="15" customHeight="1" x14ac:dyDescent="0.2">
      <c r="A543" s="37"/>
      <c r="B543" s="37"/>
      <c r="C543" s="37"/>
      <c r="D543" s="37"/>
      <c r="E543" s="37"/>
      <c r="F543" s="37"/>
      <c r="G543" s="37"/>
      <c r="H543" s="37"/>
      <c r="I543" s="37"/>
      <c r="J543" s="37"/>
      <c r="K543" s="37"/>
      <c r="L543" s="37"/>
      <c r="M543" s="37"/>
      <c r="N543" s="37"/>
      <c r="O543" s="37"/>
      <c r="P543" s="37"/>
      <c r="Q543" s="27"/>
      <c r="R543" s="27"/>
      <c r="S543" s="27"/>
      <c r="T543" s="27"/>
      <c r="U543" s="27"/>
      <c r="V543" s="27"/>
      <c r="W543" s="27"/>
    </row>
    <row r="544" spans="1:23" ht="15" customHeight="1" x14ac:dyDescent="0.2">
      <c r="A544" s="37"/>
      <c r="B544" s="37"/>
      <c r="C544" s="37"/>
      <c r="D544" s="37"/>
      <c r="E544" s="37"/>
      <c r="F544" s="37"/>
      <c r="G544" s="37"/>
      <c r="H544" s="37"/>
      <c r="I544" s="37"/>
      <c r="J544" s="37"/>
      <c r="K544" s="37"/>
      <c r="L544" s="37"/>
      <c r="M544" s="37"/>
      <c r="N544" s="37"/>
      <c r="O544" s="37"/>
      <c r="P544" s="37"/>
      <c r="Q544" s="27"/>
      <c r="R544" s="27"/>
      <c r="S544" s="27"/>
      <c r="T544" s="27"/>
      <c r="U544" s="27"/>
      <c r="V544" s="27"/>
      <c r="W544" s="27"/>
    </row>
    <row r="545" spans="1:23" ht="15" customHeight="1" x14ac:dyDescent="0.2">
      <c r="A545" s="37"/>
      <c r="B545" s="37"/>
      <c r="C545" s="37"/>
      <c r="D545" s="37"/>
      <c r="E545" s="37"/>
      <c r="F545" s="37"/>
      <c r="G545" s="37"/>
      <c r="H545" s="37"/>
      <c r="I545" s="37"/>
      <c r="J545" s="37"/>
      <c r="K545" s="37"/>
      <c r="L545" s="37"/>
      <c r="M545" s="37"/>
      <c r="N545" s="37"/>
      <c r="O545" s="37"/>
      <c r="P545" s="37"/>
      <c r="Q545" s="27"/>
      <c r="R545" s="27"/>
      <c r="S545" s="27"/>
      <c r="T545" s="27"/>
      <c r="U545" s="27"/>
      <c r="V545" s="27"/>
      <c r="W545" s="27"/>
    </row>
    <row r="546" spans="1:23" ht="15" customHeight="1" x14ac:dyDescent="0.2">
      <c r="A546" s="37"/>
      <c r="B546" s="37"/>
      <c r="C546" s="37"/>
      <c r="D546" s="37"/>
      <c r="E546" s="37"/>
      <c r="F546" s="37"/>
      <c r="G546" s="37"/>
      <c r="H546" s="37"/>
      <c r="I546" s="37"/>
      <c r="J546" s="37"/>
      <c r="K546" s="37"/>
      <c r="L546" s="37"/>
      <c r="M546" s="37"/>
      <c r="N546" s="37"/>
      <c r="O546" s="37"/>
      <c r="P546" s="37"/>
      <c r="Q546" s="27"/>
      <c r="R546" s="27"/>
      <c r="S546" s="27"/>
      <c r="T546" s="27"/>
      <c r="U546" s="27"/>
      <c r="V546" s="27"/>
      <c r="W546" s="27"/>
    </row>
    <row r="547" spans="1:23" ht="15" customHeight="1" x14ac:dyDescent="0.2">
      <c r="A547" s="37"/>
      <c r="B547" s="37"/>
      <c r="C547" s="37"/>
      <c r="D547" s="37"/>
      <c r="E547" s="37"/>
      <c r="F547" s="37"/>
      <c r="G547" s="37"/>
      <c r="H547" s="37"/>
      <c r="I547" s="37"/>
      <c r="J547" s="37"/>
      <c r="K547" s="37"/>
      <c r="L547" s="37"/>
      <c r="M547" s="37"/>
      <c r="N547" s="37"/>
      <c r="O547" s="37"/>
      <c r="P547" s="37"/>
      <c r="Q547" s="27"/>
      <c r="R547" s="27"/>
      <c r="S547" s="27"/>
      <c r="T547" s="27"/>
      <c r="U547" s="27"/>
      <c r="V547" s="27"/>
      <c r="W547" s="27"/>
    </row>
    <row r="548" spans="1:23" ht="15" customHeight="1" x14ac:dyDescent="0.2">
      <c r="A548" s="37"/>
      <c r="B548" s="37"/>
      <c r="C548" s="37"/>
      <c r="D548" s="37"/>
      <c r="E548" s="37"/>
      <c r="F548" s="37"/>
      <c r="G548" s="37"/>
      <c r="H548" s="37"/>
      <c r="I548" s="37"/>
      <c r="J548" s="37"/>
      <c r="K548" s="37"/>
      <c r="L548" s="37"/>
      <c r="M548" s="37"/>
      <c r="N548" s="37"/>
      <c r="O548" s="37"/>
      <c r="P548" s="37"/>
      <c r="Q548" s="27"/>
      <c r="R548" s="27"/>
      <c r="S548" s="27"/>
      <c r="T548" s="27"/>
      <c r="U548" s="27"/>
      <c r="V548" s="27"/>
      <c r="W548" s="27"/>
    </row>
    <row r="549" spans="1:23" ht="15" customHeight="1" x14ac:dyDescent="0.2">
      <c r="A549" s="37"/>
      <c r="B549" s="37"/>
      <c r="C549" s="37"/>
      <c r="D549" s="37"/>
      <c r="E549" s="37"/>
      <c r="F549" s="37"/>
      <c r="G549" s="37"/>
      <c r="H549" s="37"/>
      <c r="I549" s="37"/>
      <c r="J549" s="37"/>
      <c r="K549" s="37"/>
      <c r="L549" s="37"/>
      <c r="M549" s="37"/>
      <c r="N549" s="37"/>
      <c r="O549" s="37"/>
      <c r="P549" s="37"/>
      <c r="Q549" s="27"/>
      <c r="R549" s="27"/>
      <c r="S549" s="27"/>
      <c r="T549" s="27"/>
      <c r="U549" s="27"/>
      <c r="V549" s="27"/>
      <c r="W549" s="27"/>
    </row>
    <row r="550" spans="1:23" ht="15" customHeight="1" x14ac:dyDescent="0.2">
      <c r="A550" s="37"/>
      <c r="B550" s="37"/>
      <c r="C550" s="37"/>
      <c r="D550" s="37"/>
      <c r="E550" s="37"/>
      <c r="F550" s="37"/>
      <c r="G550" s="37"/>
      <c r="H550" s="37"/>
      <c r="I550" s="37"/>
      <c r="J550" s="37"/>
      <c r="K550" s="37"/>
      <c r="L550" s="37"/>
      <c r="M550" s="37"/>
      <c r="N550" s="37"/>
      <c r="O550" s="37"/>
      <c r="P550" s="37"/>
      <c r="Q550" s="27"/>
      <c r="R550" s="27"/>
      <c r="S550" s="27"/>
      <c r="T550" s="27"/>
      <c r="U550" s="27"/>
      <c r="V550" s="27"/>
      <c r="W550" s="27"/>
    </row>
    <row r="551" spans="1:23" ht="15" customHeight="1" x14ac:dyDescent="0.2">
      <c r="A551" s="37"/>
      <c r="B551" s="37"/>
      <c r="C551" s="37"/>
      <c r="D551" s="37"/>
      <c r="E551" s="37"/>
      <c r="F551" s="37"/>
      <c r="G551" s="37"/>
      <c r="H551" s="37"/>
      <c r="I551" s="37"/>
      <c r="J551" s="37"/>
      <c r="K551" s="37"/>
      <c r="L551" s="37"/>
      <c r="M551" s="37"/>
      <c r="N551" s="37"/>
      <c r="O551" s="37"/>
      <c r="P551" s="37"/>
      <c r="Q551" s="27"/>
      <c r="R551" s="27"/>
      <c r="S551" s="27"/>
      <c r="T551" s="27"/>
      <c r="U551" s="27"/>
      <c r="V551" s="27"/>
      <c r="W551" s="27"/>
    </row>
    <row r="552" spans="1:23" ht="15" customHeight="1" x14ac:dyDescent="0.2">
      <c r="A552" s="37"/>
      <c r="B552" s="37"/>
      <c r="C552" s="37"/>
      <c r="D552" s="37"/>
      <c r="E552" s="37"/>
      <c r="F552" s="37"/>
      <c r="G552" s="37"/>
      <c r="H552" s="37"/>
      <c r="I552" s="37"/>
      <c r="J552" s="37"/>
      <c r="K552" s="37"/>
      <c r="L552" s="37"/>
      <c r="M552" s="37"/>
      <c r="N552" s="37"/>
      <c r="O552" s="37"/>
      <c r="P552" s="37"/>
      <c r="Q552" s="27"/>
      <c r="R552" s="27"/>
      <c r="S552" s="27"/>
      <c r="T552" s="27"/>
      <c r="U552" s="27"/>
      <c r="V552" s="27"/>
      <c r="W552" s="27"/>
    </row>
    <row r="553" spans="1:23" ht="15" customHeight="1" x14ac:dyDescent="0.2">
      <c r="A553" s="37"/>
      <c r="B553" s="37"/>
      <c r="C553" s="37"/>
      <c r="D553" s="37"/>
      <c r="E553" s="37"/>
      <c r="F553" s="37"/>
      <c r="G553" s="37"/>
      <c r="H553" s="37"/>
      <c r="I553" s="37"/>
      <c r="J553" s="37"/>
      <c r="K553" s="37"/>
      <c r="L553" s="37"/>
      <c r="M553" s="37"/>
      <c r="N553" s="37"/>
      <c r="O553" s="37"/>
      <c r="P553" s="37"/>
      <c r="Q553" s="27"/>
      <c r="R553" s="27"/>
      <c r="S553" s="27"/>
      <c r="T553" s="27"/>
      <c r="U553" s="27"/>
      <c r="V553" s="27"/>
      <c r="W553" s="27"/>
    </row>
    <row r="554" spans="1:23" ht="15" customHeight="1" x14ac:dyDescent="0.2">
      <c r="A554" s="37"/>
      <c r="B554" s="37"/>
      <c r="C554" s="37"/>
      <c r="D554" s="37"/>
      <c r="E554" s="37"/>
      <c r="F554" s="37"/>
      <c r="G554" s="37"/>
      <c r="H554" s="37"/>
      <c r="I554" s="37"/>
      <c r="J554" s="37"/>
      <c r="K554" s="37"/>
      <c r="L554" s="37"/>
      <c r="M554" s="37"/>
      <c r="N554" s="37"/>
      <c r="O554" s="37"/>
      <c r="P554" s="37"/>
      <c r="Q554" s="27"/>
      <c r="R554" s="27"/>
      <c r="S554" s="27"/>
      <c r="T554" s="27"/>
      <c r="U554" s="27"/>
      <c r="V554" s="27"/>
      <c r="W554" s="27"/>
    </row>
    <row r="555" spans="1:23" ht="15" customHeight="1" x14ac:dyDescent="0.2">
      <c r="A555" s="37"/>
      <c r="B555" s="37"/>
      <c r="C555" s="37"/>
      <c r="D555" s="37"/>
      <c r="E555" s="37"/>
      <c r="F555" s="37"/>
      <c r="G555" s="37"/>
      <c r="H555" s="37"/>
      <c r="I555" s="37"/>
      <c r="J555" s="37"/>
      <c r="K555" s="37"/>
      <c r="L555" s="37"/>
      <c r="M555" s="37"/>
      <c r="N555" s="37"/>
      <c r="O555" s="37"/>
      <c r="P555" s="37"/>
      <c r="Q555" s="27"/>
      <c r="R555" s="27"/>
      <c r="S555" s="27"/>
      <c r="T555" s="27"/>
      <c r="U555" s="27"/>
      <c r="V555" s="27"/>
      <c r="W555" s="27"/>
    </row>
    <row r="556" spans="1:23" ht="15" customHeight="1" x14ac:dyDescent="0.2">
      <c r="A556" s="37"/>
      <c r="B556" s="37"/>
      <c r="C556" s="37"/>
      <c r="D556" s="37"/>
      <c r="E556" s="37"/>
      <c r="F556" s="37"/>
      <c r="G556" s="37"/>
      <c r="H556" s="37"/>
      <c r="I556" s="37"/>
      <c r="J556" s="37"/>
      <c r="K556" s="37"/>
      <c r="L556" s="37"/>
      <c r="M556" s="37"/>
      <c r="N556" s="37"/>
      <c r="O556" s="37"/>
      <c r="P556" s="37"/>
      <c r="Q556" s="27"/>
      <c r="R556" s="27"/>
      <c r="S556" s="27"/>
      <c r="T556" s="27"/>
      <c r="U556" s="27"/>
      <c r="V556" s="27"/>
      <c r="W556" s="27"/>
    </row>
    <row r="557" spans="1:23" ht="15" customHeight="1" x14ac:dyDescent="0.2">
      <c r="A557" s="37"/>
      <c r="B557" s="37"/>
      <c r="C557" s="37"/>
      <c r="D557" s="37"/>
      <c r="E557" s="37"/>
      <c r="F557" s="37"/>
      <c r="G557" s="37"/>
      <c r="H557" s="37"/>
      <c r="I557" s="37"/>
      <c r="J557" s="37"/>
      <c r="K557" s="37"/>
      <c r="L557" s="37"/>
      <c r="M557" s="37"/>
      <c r="N557" s="37"/>
      <c r="O557" s="37"/>
      <c r="P557" s="37"/>
      <c r="Q557" s="27"/>
      <c r="R557" s="27"/>
      <c r="S557" s="27"/>
      <c r="T557" s="27"/>
      <c r="U557" s="27"/>
      <c r="V557" s="27"/>
      <c r="W557" s="27"/>
    </row>
    <row r="558" spans="1:23" ht="15" customHeight="1" x14ac:dyDescent="0.2">
      <c r="A558" s="37"/>
      <c r="B558" s="37"/>
      <c r="C558" s="37"/>
      <c r="D558" s="37"/>
      <c r="E558" s="37"/>
      <c r="F558" s="37"/>
      <c r="G558" s="37"/>
      <c r="H558" s="37"/>
      <c r="I558" s="37"/>
      <c r="J558" s="37"/>
      <c r="K558" s="37"/>
      <c r="L558" s="37"/>
      <c r="M558" s="37"/>
      <c r="N558" s="37"/>
      <c r="O558" s="37"/>
      <c r="P558" s="37"/>
      <c r="Q558" s="27"/>
      <c r="R558" s="27"/>
      <c r="S558" s="27"/>
      <c r="T558" s="27"/>
      <c r="U558" s="27"/>
      <c r="V558" s="27"/>
      <c r="W558" s="27"/>
    </row>
    <row r="559" spans="1:23" ht="15" customHeight="1" x14ac:dyDescent="0.2">
      <c r="A559" s="37"/>
      <c r="B559" s="37"/>
      <c r="C559" s="37"/>
      <c r="D559" s="37"/>
      <c r="E559" s="37"/>
      <c r="F559" s="37"/>
      <c r="G559" s="37"/>
      <c r="H559" s="37"/>
      <c r="I559" s="37"/>
      <c r="J559" s="37"/>
      <c r="K559" s="37"/>
      <c r="L559" s="37"/>
      <c r="M559" s="37"/>
      <c r="N559" s="37"/>
      <c r="O559" s="37"/>
      <c r="P559" s="37"/>
      <c r="Q559" s="27"/>
      <c r="R559" s="27"/>
      <c r="S559" s="27"/>
      <c r="T559" s="27"/>
      <c r="U559" s="27"/>
      <c r="V559" s="27"/>
      <c r="W559" s="27"/>
    </row>
    <row r="560" spans="1:23" ht="15" customHeight="1" x14ac:dyDescent="0.2">
      <c r="A560" s="37"/>
      <c r="B560" s="37"/>
      <c r="C560" s="37"/>
      <c r="D560" s="37"/>
      <c r="E560" s="37"/>
      <c r="F560" s="37"/>
      <c r="G560" s="37"/>
      <c r="H560" s="37"/>
      <c r="I560" s="37"/>
      <c r="J560" s="37"/>
      <c r="K560" s="37"/>
      <c r="L560" s="37"/>
      <c r="M560" s="37"/>
      <c r="N560" s="37"/>
      <c r="O560" s="37"/>
      <c r="P560" s="37"/>
      <c r="Q560" s="27"/>
      <c r="R560" s="27"/>
      <c r="S560" s="27"/>
      <c r="T560" s="27"/>
      <c r="U560" s="27"/>
      <c r="V560" s="27"/>
      <c r="W560" s="27"/>
    </row>
    <row r="561" spans="1:23" ht="15" customHeight="1" x14ac:dyDescent="0.2">
      <c r="A561" s="37"/>
      <c r="B561" s="37"/>
      <c r="C561" s="37"/>
      <c r="D561" s="37"/>
      <c r="E561" s="37"/>
      <c r="F561" s="37"/>
      <c r="G561" s="37"/>
      <c r="H561" s="37"/>
      <c r="I561" s="37"/>
      <c r="J561" s="37"/>
      <c r="K561" s="37"/>
      <c r="L561" s="37"/>
      <c r="M561" s="37"/>
      <c r="N561" s="37"/>
      <c r="O561" s="37"/>
      <c r="P561" s="37"/>
      <c r="Q561" s="27"/>
      <c r="R561" s="27"/>
      <c r="S561" s="27"/>
      <c r="T561" s="27"/>
      <c r="U561" s="27"/>
      <c r="V561" s="27"/>
      <c r="W561" s="27"/>
    </row>
    <row r="562" spans="1:23" ht="15" customHeight="1" x14ac:dyDescent="0.2">
      <c r="A562" s="37"/>
      <c r="B562" s="37"/>
      <c r="C562" s="37"/>
      <c r="D562" s="37"/>
      <c r="E562" s="37"/>
      <c r="F562" s="37"/>
      <c r="G562" s="37"/>
      <c r="H562" s="37"/>
      <c r="I562" s="37"/>
      <c r="J562" s="37"/>
      <c r="K562" s="37"/>
      <c r="L562" s="37"/>
      <c r="M562" s="37"/>
      <c r="N562" s="37"/>
      <c r="O562" s="37"/>
      <c r="P562" s="37"/>
      <c r="Q562" s="27"/>
      <c r="R562" s="27"/>
      <c r="S562" s="27"/>
      <c r="T562" s="27"/>
      <c r="U562" s="27"/>
      <c r="V562" s="27"/>
      <c r="W562" s="27"/>
    </row>
    <row r="563" spans="1:23" ht="15" customHeight="1" x14ac:dyDescent="0.2">
      <c r="A563" s="37"/>
      <c r="B563" s="37"/>
      <c r="C563" s="37"/>
      <c r="D563" s="37"/>
      <c r="E563" s="37"/>
      <c r="F563" s="37"/>
      <c r="G563" s="37"/>
      <c r="H563" s="37"/>
      <c r="I563" s="37"/>
      <c r="J563" s="37"/>
      <c r="K563" s="37"/>
      <c r="L563" s="37"/>
      <c r="M563" s="37"/>
      <c r="N563" s="37"/>
      <c r="O563" s="37"/>
      <c r="P563" s="37"/>
      <c r="Q563" s="27"/>
      <c r="R563" s="27"/>
      <c r="S563" s="27"/>
      <c r="T563" s="27"/>
      <c r="U563" s="27"/>
      <c r="V563" s="27"/>
      <c r="W563" s="27"/>
    </row>
    <row r="564" spans="1:23" ht="15" customHeight="1" x14ac:dyDescent="0.2">
      <c r="A564" s="37"/>
      <c r="B564" s="37"/>
      <c r="C564" s="37"/>
      <c r="D564" s="37"/>
      <c r="E564" s="37"/>
      <c r="F564" s="37"/>
      <c r="G564" s="37"/>
      <c r="H564" s="37"/>
      <c r="I564" s="37"/>
      <c r="J564" s="37"/>
      <c r="K564" s="37"/>
      <c r="L564" s="37"/>
      <c r="M564" s="37"/>
      <c r="N564" s="37"/>
      <c r="O564" s="37"/>
      <c r="P564" s="37"/>
      <c r="Q564" s="27"/>
      <c r="R564" s="27"/>
      <c r="S564" s="27"/>
      <c r="T564" s="27"/>
      <c r="U564" s="27"/>
      <c r="V564" s="27"/>
      <c r="W564" s="27"/>
    </row>
    <row r="565" spans="1:23" ht="15" customHeight="1" x14ac:dyDescent="0.2">
      <c r="A565" s="37"/>
      <c r="B565" s="37"/>
      <c r="C565" s="37"/>
      <c r="D565" s="37"/>
      <c r="E565" s="37"/>
      <c r="F565" s="37"/>
      <c r="G565" s="37"/>
      <c r="H565" s="37"/>
      <c r="I565" s="37"/>
      <c r="J565" s="37"/>
      <c r="K565" s="37"/>
      <c r="L565" s="37"/>
      <c r="M565" s="37"/>
      <c r="N565" s="37"/>
      <c r="O565" s="37"/>
      <c r="P565" s="37"/>
      <c r="Q565" s="27"/>
      <c r="R565" s="27"/>
      <c r="S565" s="27"/>
      <c r="T565" s="27"/>
      <c r="U565" s="27"/>
      <c r="V565" s="27"/>
      <c r="W565" s="27"/>
    </row>
    <row r="566" spans="1:23" ht="15" customHeight="1" x14ac:dyDescent="0.2">
      <c r="A566" s="37"/>
      <c r="B566" s="37"/>
      <c r="C566" s="37"/>
      <c r="D566" s="37"/>
      <c r="E566" s="37"/>
      <c r="F566" s="37"/>
      <c r="G566" s="37"/>
      <c r="H566" s="37"/>
      <c r="I566" s="37"/>
      <c r="J566" s="37"/>
      <c r="K566" s="37"/>
      <c r="L566" s="37"/>
      <c r="M566" s="37"/>
      <c r="N566" s="37"/>
      <c r="O566" s="37"/>
      <c r="P566" s="37"/>
      <c r="Q566" s="27"/>
      <c r="R566" s="27"/>
      <c r="S566" s="27"/>
      <c r="T566" s="27"/>
      <c r="U566" s="27"/>
      <c r="V566" s="27"/>
      <c r="W566" s="27"/>
    </row>
    <row r="567" spans="1:23" ht="15" customHeight="1" x14ac:dyDescent="0.2">
      <c r="A567" s="37"/>
      <c r="B567" s="37"/>
      <c r="C567" s="37"/>
      <c r="D567" s="37"/>
      <c r="E567" s="37"/>
      <c r="F567" s="37"/>
      <c r="G567" s="37"/>
      <c r="H567" s="37"/>
      <c r="I567" s="37"/>
      <c r="J567" s="37"/>
      <c r="K567" s="37"/>
      <c r="L567" s="37"/>
      <c r="M567" s="37"/>
      <c r="N567" s="37"/>
      <c r="O567" s="37"/>
      <c r="P567" s="37"/>
      <c r="Q567" s="27"/>
      <c r="R567" s="27"/>
      <c r="S567" s="27"/>
      <c r="T567" s="27"/>
      <c r="U567" s="27"/>
      <c r="V567" s="27"/>
      <c r="W567" s="27"/>
    </row>
    <row r="568" spans="1:23" ht="15" customHeight="1" x14ac:dyDescent="0.2">
      <c r="A568" s="37"/>
      <c r="B568" s="37"/>
      <c r="C568" s="37"/>
      <c r="D568" s="37"/>
      <c r="E568" s="37"/>
      <c r="F568" s="37"/>
      <c r="G568" s="37"/>
      <c r="H568" s="37"/>
      <c r="I568" s="37"/>
      <c r="J568" s="37"/>
      <c r="K568" s="37"/>
      <c r="L568" s="37"/>
      <c r="M568" s="37"/>
      <c r="N568" s="37"/>
      <c r="O568" s="37"/>
      <c r="P568" s="37"/>
      <c r="Q568" s="27"/>
      <c r="R568" s="27"/>
      <c r="S568" s="27"/>
      <c r="T568" s="27"/>
      <c r="U568" s="27"/>
      <c r="V568" s="27"/>
      <c r="W568" s="27"/>
    </row>
    <row r="569" spans="1:23" ht="15" customHeight="1" x14ac:dyDescent="0.2">
      <c r="A569" s="37"/>
      <c r="B569" s="37"/>
      <c r="C569" s="37"/>
      <c r="D569" s="37"/>
      <c r="E569" s="37"/>
      <c r="F569" s="37"/>
      <c r="G569" s="37"/>
      <c r="H569" s="37"/>
      <c r="I569" s="37"/>
      <c r="J569" s="37"/>
      <c r="K569" s="37"/>
      <c r="L569" s="37"/>
      <c r="M569" s="37"/>
      <c r="N569" s="37"/>
      <c r="O569" s="37"/>
      <c r="P569" s="37"/>
      <c r="Q569" s="27"/>
      <c r="R569" s="27"/>
      <c r="S569" s="27"/>
      <c r="T569" s="27"/>
      <c r="U569" s="27"/>
      <c r="V569" s="27"/>
      <c r="W569" s="27"/>
    </row>
    <row r="570" spans="1:23" ht="15" customHeight="1" x14ac:dyDescent="0.2">
      <c r="A570" s="37"/>
      <c r="B570" s="37"/>
      <c r="C570" s="37"/>
      <c r="D570" s="37"/>
      <c r="E570" s="37"/>
      <c r="F570" s="37"/>
      <c r="G570" s="37"/>
      <c r="H570" s="37"/>
      <c r="I570" s="37"/>
      <c r="J570" s="37"/>
      <c r="K570" s="37"/>
      <c r="L570" s="37"/>
      <c r="M570" s="37"/>
      <c r="N570" s="37"/>
      <c r="O570" s="37"/>
      <c r="P570" s="37"/>
      <c r="Q570" s="27"/>
      <c r="R570" s="27"/>
      <c r="S570" s="27"/>
      <c r="T570" s="27"/>
      <c r="U570" s="27"/>
      <c r="V570" s="27"/>
      <c r="W570" s="27"/>
    </row>
    <row r="571" spans="1:23" ht="15" customHeight="1" x14ac:dyDescent="0.2">
      <c r="A571" s="37"/>
      <c r="B571" s="37"/>
      <c r="C571" s="37"/>
      <c r="D571" s="37"/>
      <c r="E571" s="37"/>
      <c r="F571" s="37"/>
      <c r="G571" s="37"/>
      <c r="H571" s="37"/>
      <c r="I571" s="37"/>
      <c r="J571" s="37"/>
      <c r="K571" s="37"/>
      <c r="L571" s="37"/>
      <c r="M571" s="37"/>
      <c r="N571" s="37"/>
      <c r="O571" s="37"/>
      <c r="P571" s="37"/>
      <c r="Q571" s="27"/>
      <c r="R571" s="27"/>
      <c r="S571" s="27"/>
      <c r="T571" s="27"/>
      <c r="U571" s="27"/>
      <c r="V571" s="27"/>
      <c r="W571" s="27"/>
    </row>
    <row r="572" spans="1:23" ht="15" customHeight="1" x14ac:dyDescent="0.2">
      <c r="A572" s="37"/>
      <c r="B572" s="37"/>
      <c r="C572" s="37"/>
      <c r="D572" s="37"/>
      <c r="E572" s="37"/>
      <c r="F572" s="37"/>
      <c r="G572" s="37"/>
      <c r="H572" s="37"/>
      <c r="I572" s="37"/>
      <c r="J572" s="37"/>
      <c r="K572" s="37"/>
      <c r="L572" s="37"/>
      <c r="M572" s="37"/>
      <c r="N572" s="37"/>
      <c r="O572" s="37"/>
      <c r="P572" s="37"/>
      <c r="Q572" s="27"/>
      <c r="R572" s="27"/>
      <c r="S572" s="27"/>
      <c r="T572" s="27"/>
      <c r="U572" s="27"/>
      <c r="V572" s="27"/>
      <c r="W572" s="27"/>
    </row>
    <row r="573" spans="1:23" ht="15" customHeight="1" x14ac:dyDescent="0.2">
      <c r="A573" s="37"/>
      <c r="B573" s="37"/>
      <c r="C573" s="37"/>
      <c r="D573" s="37"/>
      <c r="E573" s="37"/>
      <c r="F573" s="37"/>
      <c r="G573" s="37"/>
      <c r="H573" s="37"/>
      <c r="I573" s="37"/>
      <c r="J573" s="37"/>
      <c r="K573" s="37"/>
      <c r="L573" s="37"/>
      <c r="M573" s="37"/>
      <c r="N573" s="37"/>
      <c r="O573" s="37"/>
      <c r="P573" s="37"/>
      <c r="Q573" s="27"/>
      <c r="R573" s="27"/>
      <c r="S573" s="27"/>
      <c r="T573" s="27"/>
      <c r="U573" s="27"/>
      <c r="V573" s="27"/>
      <c r="W573" s="27"/>
    </row>
    <row r="574" spans="1:23" ht="15" customHeight="1" x14ac:dyDescent="0.2">
      <c r="A574" s="37"/>
      <c r="B574" s="37"/>
      <c r="C574" s="37"/>
      <c r="D574" s="37"/>
      <c r="E574" s="37"/>
      <c r="F574" s="37"/>
      <c r="G574" s="37"/>
      <c r="H574" s="37"/>
      <c r="I574" s="37"/>
      <c r="J574" s="37"/>
      <c r="K574" s="37"/>
      <c r="L574" s="37"/>
      <c r="M574" s="37"/>
      <c r="N574" s="37"/>
      <c r="O574" s="37"/>
      <c r="P574" s="37"/>
      <c r="Q574" s="27"/>
      <c r="R574" s="27"/>
      <c r="S574" s="27"/>
      <c r="T574" s="27"/>
      <c r="U574" s="27"/>
      <c r="V574" s="27"/>
      <c r="W574" s="27"/>
    </row>
    <row r="575" spans="1:23" ht="15" customHeight="1" x14ac:dyDescent="0.2">
      <c r="A575" s="37"/>
      <c r="B575" s="37"/>
      <c r="C575" s="37"/>
      <c r="D575" s="37"/>
      <c r="E575" s="37"/>
      <c r="F575" s="37"/>
      <c r="G575" s="37"/>
      <c r="H575" s="37"/>
      <c r="I575" s="37"/>
      <c r="J575" s="37"/>
      <c r="K575" s="37"/>
      <c r="L575" s="37"/>
      <c r="M575" s="37"/>
      <c r="N575" s="37"/>
      <c r="O575" s="37"/>
      <c r="P575" s="37"/>
      <c r="Q575" s="27"/>
      <c r="R575" s="27"/>
      <c r="S575" s="27"/>
      <c r="T575" s="27"/>
      <c r="U575" s="27"/>
      <c r="V575" s="27"/>
      <c r="W575" s="27"/>
    </row>
    <row r="576" spans="1:23" ht="15" customHeight="1" x14ac:dyDescent="0.2">
      <c r="A576" s="37"/>
      <c r="B576" s="37"/>
      <c r="C576" s="37"/>
      <c r="D576" s="37"/>
      <c r="E576" s="37"/>
      <c r="F576" s="37"/>
      <c r="G576" s="37"/>
      <c r="H576" s="37"/>
      <c r="I576" s="37"/>
      <c r="J576" s="37"/>
      <c r="K576" s="37"/>
      <c r="L576" s="37"/>
      <c r="M576" s="37"/>
      <c r="N576" s="37"/>
      <c r="O576" s="37"/>
      <c r="P576" s="37"/>
      <c r="Q576" s="27"/>
      <c r="R576" s="27"/>
      <c r="S576" s="27"/>
      <c r="T576" s="27"/>
      <c r="U576" s="27"/>
      <c r="V576" s="27"/>
      <c r="W576" s="27"/>
    </row>
    <row r="577" spans="1:23" ht="15" customHeight="1" x14ac:dyDescent="0.2">
      <c r="A577" s="37"/>
      <c r="B577" s="37"/>
      <c r="C577" s="37"/>
      <c r="D577" s="37"/>
      <c r="E577" s="37"/>
      <c r="F577" s="37"/>
      <c r="G577" s="37"/>
      <c r="H577" s="37"/>
      <c r="I577" s="37"/>
      <c r="J577" s="37"/>
      <c r="K577" s="37"/>
      <c r="L577" s="37"/>
      <c r="M577" s="37"/>
      <c r="N577" s="37"/>
      <c r="O577" s="37"/>
      <c r="P577" s="37"/>
      <c r="Q577" s="27"/>
      <c r="R577" s="27"/>
      <c r="S577" s="27"/>
      <c r="T577" s="27"/>
      <c r="U577" s="27"/>
      <c r="V577" s="27"/>
      <c r="W577" s="27"/>
    </row>
    <row r="578" spans="1:23" ht="15" customHeight="1" x14ac:dyDescent="0.2">
      <c r="A578" s="37"/>
      <c r="B578" s="37"/>
      <c r="C578" s="37"/>
      <c r="D578" s="37"/>
      <c r="E578" s="37"/>
      <c r="F578" s="37"/>
      <c r="G578" s="37"/>
      <c r="H578" s="37"/>
      <c r="I578" s="37"/>
      <c r="J578" s="37"/>
      <c r="K578" s="37"/>
      <c r="L578" s="37"/>
      <c r="M578" s="37"/>
      <c r="N578" s="37"/>
      <c r="O578" s="37"/>
      <c r="P578" s="37"/>
      <c r="Q578" s="27"/>
      <c r="R578" s="27"/>
      <c r="S578" s="27"/>
      <c r="T578" s="27"/>
      <c r="U578" s="27"/>
      <c r="V578" s="27"/>
      <c r="W578" s="27"/>
    </row>
    <row r="579" spans="1:23" ht="15" customHeight="1" x14ac:dyDescent="0.2">
      <c r="A579" s="37"/>
      <c r="B579" s="37"/>
      <c r="C579" s="37"/>
      <c r="D579" s="37"/>
      <c r="E579" s="37"/>
      <c r="F579" s="37"/>
      <c r="G579" s="37"/>
      <c r="H579" s="37"/>
      <c r="I579" s="37"/>
      <c r="J579" s="37"/>
      <c r="K579" s="37"/>
      <c r="L579" s="37"/>
      <c r="M579" s="37"/>
      <c r="N579" s="37"/>
      <c r="O579" s="37"/>
      <c r="P579" s="37"/>
      <c r="Q579" s="27"/>
      <c r="R579" s="27"/>
      <c r="S579" s="27"/>
      <c r="T579" s="27"/>
      <c r="U579" s="27"/>
      <c r="V579" s="27"/>
      <c r="W579" s="27"/>
    </row>
    <row r="580" spans="1:23" ht="15" customHeight="1" x14ac:dyDescent="0.2">
      <c r="A580" s="37"/>
      <c r="B580" s="37"/>
      <c r="C580" s="37"/>
      <c r="D580" s="37"/>
      <c r="E580" s="37"/>
      <c r="F580" s="37"/>
      <c r="G580" s="37"/>
      <c r="H580" s="37"/>
      <c r="I580" s="37"/>
      <c r="J580" s="37"/>
      <c r="K580" s="37"/>
      <c r="L580" s="37"/>
      <c r="M580" s="37"/>
      <c r="N580" s="37"/>
      <c r="O580" s="37"/>
      <c r="P580" s="37"/>
      <c r="Q580" s="27"/>
      <c r="R580" s="27"/>
      <c r="S580" s="27"/>
      <c r="T580" s="27"/>
      <c r="U580" s="27"/>
      <c r="V580" s="27"/>
      <c r="W580" s="27"/>
    </row>
    <row r="581" spans="1:23" ht="15" customHeight="1" x14ac:dyDescent="0.2">
      <c r="A581" s="37"/>
      <c r="B581" s="37"/>
      <c r="C581" s="37"/>
      <c r="D581" s="37"/>
      <c r="E581" s="37"/>
      <c r="F581" s="37"/>
      <c r="G581" s="37"/>
      <c r="H581" s="37"/>
      <c r="I581" s="37"/>
      <c r="J581" s="37"/>
      <c r="K581" s="37"/>
      <c r="L581" s="37"/>
      <c r="M581" s="37"/>
      <c r="N581" s="37"/>
      <c r="O581" s="37"/>
      <c r="P581" s="37"/>
      <c r="Q581" s="27"/>
      <c r="R581" s="27"/>
      <c r="S581" s="27"/>
      <c r="T581" s="27"/>
      <c r="U581" s="27"/>
      <c r="V581" s="27"/>
      <c r="W581" s="27"/>
    </row>
    <row r="582" spans="1:23" ht="15" customHeight="1" x14ac:dyDescent="0.2">
      <c r="A582" s="37"/>
      <c r="B582" s="37"/>
      <c r="C582" s="37"/>
      <c r="D582" s="37"/>
      <c r="E582" s="37"/>
      <c r="F582" s="37"/>
      <c r="G582" s="37"/>
      <c r="H582" s="37"/>
      <c r="I582" s="37"/>
      <c r="J582" s="37"/>
      <c r="K582" s="37"/>
      <c r="L582" s="37"/>
      <c r="M582" s="37"/>
      <c r="N582" s="37"/>
      <c r="O582" s="37"/>
      <c r="P582" s="37"/>
      <c r="Q582" s="27"/>
      <c r="R582" s="27"/>
      <c r="S582" s="27"/>
      <c r="T582" s="27"/>
      <c r="U582" s="27"/>
      <c r="V582" s="27"/>
      <c r="W582" s="27"/>
    </row>
    <row r="583" spans="1:23" ht="15" customHeight="1" x14ac:dyDescent="0.2">
      <c r="A583" s="37"/>
      <c r="B583" s="37"/>
      <c r="C583" s="37"/>
      <c r="D583" s="37"/>
      <c r="E583" s="37"/>
      <c r="F583" s="37"/>
      <c r="G583" s="37"/>
      <c r="H583" s="37"/>
      <c r="I583" s="37"/>
      <c r="J583" s="37"/>
      <c r="K583" s="37"/>
      <c r="L583" s="37"/>
      <c r="M583" s="37"/>
      <c r="N583" s="37"/>
      <c r="O583" s="37"/>
      <c r="P583" s="37"/>
      <c r="Q583" s="27"/>
      <c r="R583" s="27"/>
      <c r="S583" s="27"/>
      <c r="T583" s="27"/>
      <c r="U583" s="27"/>
      <c r="V583" s="27"/>
      <c r="W583" s="27"/>
    </row>
    <row r="584" spans="1:23" ht="15" customHeight="1" x14ac:dyDescent="0.2">
      <c r="A584" s="37"/>
      <c r="B584" s="37"/>
      <c r="C584" s="37"/>
      <c r="D584" s="37"/>
      <c r="E584" s="37"/>
      <c r="F584" s="37"/>
      <c r="G584" s="37"/>
      <c r="H584" s="37"/>
      <c r="I584" s="37"/>
      <c r="J584" s="37"/>
      <c r="K584" s="37"/>
      <c r="L584" s="37"/>
      <c r="M584" s="37"/>
      <c r="N584" s="37"/>
      <c r="O584" s="37"/>
      <c r="P584" s="37"/>
      <c r="Q584" s="27"/>
      <c r="R584" s="27"/>
      <c r="S584" s="27"/>
      <c r="T584" s="27"/>
      <c r="U584" s="27"/>
      <c r="V584" s="27"/>
      <c r="W584" s="27"/>
    </row>
    <row r="585" spans="1:23" ht="15" customHeight="1" x14ac:dyDescent="0.2">
      <c r="A585" s="37"/>
      <c r="B585" s="37"/>
      <c r="C585" s="37"/>
      <c r="D585" s="37"/>
      <c r="E585" s="37"/>
      <c r="F585" s="37"/>
      <c r="G585" s="37"/>
      <c r="H585" s="37"/>
      <c r="I585" s="37"/>
      <c r="J585" s="37"/>
      <c r="K585" s="37"/>
      <c r="L585" s="37"/>
      <c r="M585" s="37"/>
      <c r="N585" s="37"/>
      <c r="O585" s="37"/>
      <c r="P585" s="37"/>
      <c r="Q585" s="27"/>
      <c r="R585" s="27"/>
      <c r="S585" s="27"/>
      <c r="T585" s="27"/>
      <c r="U585" s="27"/>
      <c r="V585" s="27"/>
      <c r="W585" s="27"/>
    </row>
    <row r="586" spans="1:23" ht="15" customHeight="1" x14ac:dyDescent="0.2">
      <c r="A586" s="37"/>
      <c r="B586" s="37"/>
      <c r="C586" s="37"/>
      <c r="D586" s="37"/>
      <c r="E586" s="37"/>
      <c r="F586" s="37"/>
      <c r="G586" s="37"/>
      <c r="H586" s="37"/>
      <c r="I586" s="37"/>
      <c r="J586" s="37"/>
      <c r="K586" s="37"/>
      <c r="L586" s="37"/>
      <c r="M586" s="37"/>
      <c r="N586" s="37"/>
      <c r="O586" s="37"/>
      <c r="P586" s="37"/>
      <c r="Q586" s="27"/>
      <c r="R586" s="27"/>
      <c r="S586" s="27"/>
      <c r="T586" s="27"/>
      <c r="U586" s="27"/>
      <c r="V586" s="27"/>
      <c r="W586" s="27"/>
    </row>
    <row r="587" spans="1:23" ht="15" customHeight="1" x14ac:dyDescent="0.2">
      <c r="A587" s="37"/>
      <c r="B587" s="37"/>
      <c r="C587" s="37"/>
      <c r="D587" s="37"/>
      <c r="E587" s="37"/>
      <c r="F587" s="37"/>
      <c r="G587" s="37"/>
      <c r="H587" s="37"/>
      <c r="I587" s="37"/>
      <c r="J587" s="37"/>
      <c r="K587" s="37"/>
      <c r="L587" s="37"/>
      <c r="M587" s="37"/>
      <c r="N587" s="37"/>
      <c r="O587" s="37"/>
      <c r="P587" s="37"/>
      <c r="Q587" s="27"/>
      <c r="R587" s="27"/>
      <c r="S587" s="27"/>
      <c r="T587" s="27"/>
      <c r="U587" s="27"/>
      <c r="V587" s="27"/>
      <c r="W587" s="27"/>
    </row>
    <row r="588" spans="1:23" ht="15" customHeight="1" x14ac:dyDescent="0.2">
      <c r="A588" s="37"/>
      <c r="B588" s="37"/>
      <c r="C588" s="37"/>
      <c r="D588" s="37"/>
      <c r="E588" s="37"/>
      <c r="F588" s="37"/>
      <c r="G588" s="37"/>
      <c r="H588" s="37"/>
      <c r="I588" s="37"/>
      <c r="J588" s="37"/>
      <c r="K588" s="37"/>
      <c r="L588" s="37"/>
      <c r="M588" s="37"/>
      <c r="N588" s="37"/>
      <c r="O588" s="37"/>
      <c r="P588" s="37"/>
      <c r="Q588" s="27"/>
      <c r="R588" s="27"/>
      <c r="S588" s="27"/>
      <c r="T588" s="27"/>
      <c r="U588" s="27"/>
      <c r="V588" s="27"/>
      <c r="W588" s="27"/>
    </row>
    <row r="589" spans="1:23" ht="15" customHeight="1" x14ac:dyDescent="0.2">
      <c r="A589" s="37"/>
      <c r="B589" s="37"/>
      <c r="C589" s="37"/>
      <c r="D589" s="37"/>
      <c r="E589" s="37"/>
      <c r="F589" s="37"/>
      <c r="G589" s="37"/>
      <c r="H589" s="37"/>
      <c r="I589" s="37"/>
      <c r="J589" s="37"/>
      <c r="K589" s="37"/>
      <c r="L589" s="37"/>
      <c r="M589" s="37"/>
      <c r="N589" s="37"/>
      <c r="O589" s="37"/>
      <c r="P589" s="37"/>
      <c r="Q589" s="27"/>
      <c r="R589" s="27"/>
      <c r="S589" s="27"/>
      <c r="T589" s="27"/>
      <c r="U589" s="27"/>
      <c r="V589" s="27"/>
      <c r="W589" s="27"/>
    </row>
    <row r="590" spans="1:23" ht="15" customHeight="1" x14ac:dyDescent="0.2">
      <c r="A590" s="37"/>
      <c r="B590" s="37"/>
      <c r="C590" s="37"/>
      <c r="D590" s="37"/>
      <c r="E590" s="37"/>
      <c r="F590" s="37"/>
      <c r="G590" s="37"/>
      <c r="H590" s="37"/>
      <c r="I590" s="37"/>
      <c r="J590" s="37"/>
      <c r="K590" s="37"/>
      <c r="L590" s="37"/>
      <c r="M590" s="37"/>
      <c r="N590" s="37"/>
      <c r="O590" s="37"/>
      <c r="P590" s="37"/>
      <c r="Q590" s="27"/>
      <c r="R590" s="27"/>
      <c r="S590" s="27"/>
      <c r="T590" s="27"/>
      <c r="U590" s="27"/>
      <c r="V590" s="27"/>
      <c r="W590" s="27"/>
    </row>
    <row r="591" spans="1:23" ht="15" customHeight="1" x14ac:dyDescent="0.2">
      <c r="A591" s="37"/>
      <c r="B591" s="37"/>
      <c r="C591" s="37"/>
      <c r="D591" s="37"/>
      <c r="E591" s="37"/>
      <c r="F591" s="37"/>
      <c r="G591" s="37"/>
      <c r="H591" s="37"/>
      <c r="I591" s="37"/>
      <c r="J591" s="37"/>
      <c r="K591" s="37"/>
      <c r="L591" s="37"/>
      <c r="M591" s="37"/>
      <c r="N591" s="37"/>
      <c r="O591" s="37"/>
      <c r="P591" s="37"/>
      <c r="Q591" s="27"/>
      <c r="R591" s="27"/>
      <c r="S591" s="27"/>
      <c r="T591" s="27"/>
      <c r="U591" s="27"/>
      <c r="V591" s="27"/>
      <c r="W591" s="27"/>
    </row>
    <row r="592" spans="1:23" ht="15" customHeight="1" x14ac:dyDescent="0.2">
      <c r="A592" s="37"/>
      <c r="B592" s="37"/>
      <c r="C592" s="37"/>
      <c r="D592" s="37"/>
      <c r="E592" s="37"/>
      <c r="F592" s="37"/>
      <c r="G592" s="37"/>
      <c r="H592" s="37"/>
      <c r="I592" s="37"/>
      <c r="J592" s="37"/>
      <c r="K592" s="37"/>
      <c r="L592" s="37"/>
      <c r="M592" s="37"/>
      <c r="N592" s="37"/>
      <c r="O592" s="37"/>
      <c r="P592" s="37"/>
      <c r="Q592" s="27"/>
      <c r="R592" s="27"/>
      <c r="S592" s="27"/>
      <c r="T592" s="27"/>
      <c r="U592" s="27"/>
      <c r="V592" s="27"/>
      <c r="W592" s="27"/>
    </row>
    <row r="593" spans="1:23" ht="15" customHeight="1" x14ac:dyDescent="0.2">
      <c r="A593" s="37"/>
      <c r="B593" s="37"/>
      <c r="C593" s="37"/>
      <c r="D593" s="37"/>
      <c r="E593" s="37"/>
      <c r="F593" s="37"/>
      <c r="G593" s="37"/>
      <c r="H593" s="37"/>
      <c r="I593" s="37"/>
      <c r="J593" s="37"/>
      <c r="K593" s="37"/>
      <c r="L593" s="37"/>
      <c r="M593" s="37"/>
      <c r="N593" s="37"/>
      <c r="O593" s="37"/>
      <c r="P593" s="37"/>
      <c r="Q593" s="27"/>
      <c r="R593" s="27"/>
      <c r="S593" s="27"/>
      <c r="T593" s="27"/>
      <c r="U593" s="27"/>
      <c r="V593" s="27"/>
      <c r="W593" s="27"/>
    </row>
    <row r="594" spans="1:23" ht="15" customHeight="1" x14ac:dyDescent="0.2">
      <c r="A594" s="37"/>
      <c r="B594" s="37"/>
      <c r="C594" s="37"/>
      <c r="D594" s="37"/>
      <c r="E594" s="37"/>
      <c r="F594" s="37"/>
      <c r="G594" s="37"/>
      <c r="H594" s="37"/>
      <c r="I594" s="37"/>
      <c r="J594" s="37"/>
      <c r="K594" s="37"/>
      <c r="L594" s="37"/>
      <c r="M594" s="37"/>
      <c r="N594" s="37"/>
      <c r="O594" s="37"/>
      <c r="P594" s="37"/>
      <c r="Q594" s="27"/>
      <c r="R594" s="27"/>
      <c r="S594" s="27"/>
      <c r="T594" s="27"/>
      <c r="U594" s="27"/>
      <c r="V594" s="27"/>
      <c r="W594" s="27"/>
    </row>
    <row r="595" spans="1:23" ht="15" customHeight="1" x14ac:dyDescent="0.2">
      <c r="A595" s="37"/>
      <c r="B595" s="37"/>
      <c r="C595" s="37"/>
      <c r="D595" s="37"/>
      <c r="E595" s="37"/>
      <c r="F595" s="37"/>
      <c r="G595" s="37"/>
      <c r="H595" s="37"/>
      <c r="I595" s="37"/>
      <c r="J595" s="37"/>
      <c r="K595" s="37"/>
      <c r="L595" s="37"/>
      <c r="M595" s="37"/>
      <c r="N595" s="37"/>
      <c r="O595" s="37"/>
      <c r="P595" s="37"/>
      <c r="Q595" s="27"/>
      <c r="R595" s="27"/>
      <c r="S595" s="27"/>
      <c r="T595" s="27"/>
      <c r="U595" s="27"/>
      <c r="V595" s="27"/>
      <c r="W595" s="27"/>
    </row>
    <row r="596" spans="1:23" ht="15" customHeight="1" x14ac:dyDescent="0.2">
      <c r="A596" s="37"/>
      <c r="B596" s="37"/>
      <c r="C596" s="37"/>
      <c r="D596" s="37"/>
      <c r="E596" s="37"/>
      <c r="F596" s="37"/>
      <c r="G596" s="37"/>
      <c r="H596" s="37"/>
      <c r="I596" s="37"/>
      <c r="J596" s="37"/>
      <c r="K596" s="37"/>
      <c r="L596" s="37"/>
      <c r="M596" s="37"/>
      <c r="N596" s="37"/>
      <c r="O596" s="37"/>
      <c r="P596" s="37"/>
      <c r="Q596" s="27"/>
      <c r="R596" s="27"/>
      <c r="S596" s="27"/>
      <c r="T596" s="27"/>
      <c r="U596" s="27"/>
      <c r="V596" s="27"/>
      <c r="W596" s="27"/>
    </row>
    <row r="597" spans="1:23" ht="15" customHeight="1" x14ac:dyDescent="0.2">
      <c r="A597" s="37"/>
      <c r="B597" s="37"/>
      <c r="C597" s="37"/>
      <c r="D597" s="37"/>
      <c r="E597" s="37"/>
      <c r="F597" s="37"/>
      <c r="G597" s="37"/>
      <c r="H597" s="37"/>
      <c r="I597" s="37"/>
      <c r="J597" s="37"/>
      <c r="K597" s="37"/>
      <c r="L597" s="37"/>
      <c r="M597" s="37"/>
      <c r="N597" s="37"/>
      <c r="O597" s="37"/>
      <c r="P597" s="37"/>
      <c r="Q597" s="27"/>
      <c r="R597" s="27"/>
      <c r="S597" s="27"/>
      <c r="T597" s="27"/>
      <c r="U597" s="27"/>
      <c r="V597" s="27"/>
      <c r="W597" s="27"/>
    </row>
    <row r="598" spans="1:23" ht="15" customHeight="1" x14ac:dyDescent="0.2">
      <c r="A598" s="37"/>
      <c r="B598" s="37"/>
      <c r="C598" s="37"/>
      <c r="D598" s="37"/>
      <c r="E598" s="37"/>
      <c r="F598" s="37"/>
      <c r="G598" s="37"/>
      <c r="H598" s="37"/>
      <c r="I598" s="37"/>
      <c r="J598" s="37"/>
      <c r="K598" s="37"/>
      <c r="L598" s="37"/>
      <c r="M598" s="37"/>
      <c r="N598" s="37"/>
      <c r="O598" s="37"/>
      <c r="P598" s="37"/>
      <c r="Q598" s="27"/>
      <c r="R598" s="27"/>
      <c r="S598" s="27"/>
      <c r="T598" s="27"/>
      <c r="U598" s="27"/>
      <c r="V598" s="27"/>
      <c r="W598" s="27"/>
    </row>
    <row r="599" spans="1:23" ht="15" customHeight="1" x14ac:dyDescent="0.2">
      <c r="A599" s="37"/>
      <c r="B599" s="37"/>
      <c r="C599" s="37"/>
      <c r="D599" s="37"/>
      <c r="E599" s="37"/>
      <c r="F599" s="37"/>
      <c r="G599" s="37"/>
      <c r="H599" s="37"/>
      <c r="I599" s="37"/>
      <c r="J599" s="37"/>
      <c r="K599" s="37"/>
      <c r="L599" s="37"/>
      <c r="M599" s="37"/>
      <c r="N599" s="37"/>
      <c r="O599" s="37"/>
      <c r="P599" s="37"/>
      <c r="Q599" s="27"/>
      <c r="R599" s="27"/>
      <c r="S599" s="27"/>
      <c r="T599" s="27"/>
      <c r="U599" s="27"/>
      <c r="V599" s="27"/>
      <c r="W599" s="27"/>
    </row>
    <row r="600" spans="1:23" ht="15" customHeight="1" x14ac:dyDescent="0.2">
      <c r="A600" s="37"/>
      <c r="B600" s="37"/>
      <c r="C600" s="37"/>
      <c r="D600" s="37"/>
      <c r="E600" s="37"/>
      <c r="F600" s="37"/>
      <c r="G600" s="37"/>
      <c r="H600" s="37"/>
      <c r="I600" s="37"/>
      <c r="J600" s="37"/>
      <c r="K600" s="37"/>
      <c r="L600" s="37"/>
      <c r="M600" s="37"/>
      <c r="N600" s="37"/>
      <c r="O600" s="37"/>
      <c r="P600" s="37"/>
      <c r="Q600" s="27"/>
      <c r="R600" s="27"/>
      <c r="S600" s="27"/>
      <c r="T600" s="27"/>
      <c r="U600" s="27"/>
      <c r="V600" s="27"/>
      <c r="W600" s="27"/>
    </row>
    <row r="601" spans="1:23" ht="15" customHeight="1" x14ac:dyDescent="0.2">
      <c r="A601" s="37"/>
      <c r="B601" s="37"/>
      <c r="C601" s="37"/>
      <c r="D601" s="37"/>
      <c r="E601" s="37"/>
      <c r="F601" s="37"/>
      <c r="G601" s="37"/>
      <c r="H601" s="37"/>
      <c r="I601" s="37"/>
      <c r="J601" s="37"/>
      <c r="K601" s="37"/>
      <c r="L601" s="37"/>
      <c r="M601" s="37"/>
      <c r="N601" s="37"/>
      <c r="O601" s="37"/>
      <c r="P601" s="37"/>
      <c r="Q601" s="27"/>
      <c r="R601" s="27"/>
      <c r="S601" s="27"/>
      <c r="T601" s="27"/>
      <c r="U601" s="27"/>
      <c r="V601" s="27"/>
      <c r="W601" s="27"/>
    </row>
    <row r="602" spans="1:23" ht="15" customHeight="1" x14ac:dyDescent="0.2">
      <c r="A602" s="37"/>
      <c r="B602" s="37"/>
      <c r="C602" s="37"/>
      <c r="D602" s="37"/>
      <c r="E602" s="37"/>
      <c r="F602" s="37"/>
      <c r="G602" s="37"/>
      <c r="H602" s="37"/>
      <c r="I602" s="37"/>
      <c r="J602" s="37"/>
      <c r="K602" s="37"/>
      <c r="L602" s="37"/>
      <c r="M602" s="37"/>
      <c r="N602" s="37"/>
      <c r="O602" s="37"/>
      <c r="P602" s="37"/>
      <c r="Q602" s="27"/>
      <c r="R602" s="27"/>
      <c r="S602" s="27"/>
      <c r="T602" s="27"/>
      <c r="U602" s="27"/>
      <c r="V602" s="27"/>
      <c r="W602" s="27"/>
    </row>
    <row r="603" spans="1:23" ht="15" customHeight="1" x14ac:dyDescent="0.2">
      <c r="A603" s="37"/>
      <c r="B603" s="37"/>
      <c r="C603" s="37"/>
      <c r="D603" s="37"/>
      <c r="E603" s="37"/>
      <c r="F603" s="37"/>
      <c r="G603" s="37"/>
      <c r="H603" s="37"/>
      <c r="I603" s="37"/>
      <c r="J603" s="37"/>
      <c r="K603" s="37"/>
      <c r="L603" s="37"/>
      <c r="M603" s="37"/>
      <c r="N603" s="37"/>
      <c r="O603" s="37"/>
      <c r="P603" s="37"/>
      <c r="Q603" s="27"/>
      <c r="R603" s="27"/>
      <c r="S603" s="27"/>
      <c r="T603" s="27"/>
      <c r="U603" s="27"/>
      <c r="V603" s="27"/>
      <c r="W603" s="27"/>
    </row>
    <row r="604" spans="1:23" ht="15" customHeight="1" x14ac:dyDescent="0.2">
      <c r="A604" s="37"/>
      <c r="B604" s="37"/>
      <c r="C604" s="37"/>
      <c r="D604" s="37"/>
      <c r="E604" s="37"/>
      <c r="F604" s="37"/>
      <c r="G604" s="37"/>
      <c r="H604" s="37"/>
      <c r="I604" s="37"/>
      <c r="J604" s="37"/>
      <c r="K604" s="37"/>
      <c r="L604" s="37"/>
      <c r="M604" s="37"/>
      <c r="N604" s="37"/>
      <c r="O604" s="37"/>
      <c r="P604" s="37"/>
      <c r="Q604" s="27"/>
      <c r="R604" s="27"/>
      <c r="S604" s="27"/>
      <c r="T604" s="27"/>
      <c r="U604" s="27"/>
      <c r="V604" s="27"/>
      <c r="W604" s="27"/>
    </row>
    <row r="605" spans="1:23" ht="15" customHeight="1" x14ac:dyDescent="0.2">
      <c r="A605" s="37"/>
      <c r="B605" s="37"/>
      <c r="C605" s="37"/>
      <c r="D605" s="37"/>
      <c r="E605" s="37"/>
      <c r="F605" s="37"/>
      <c r="G605" s="37"/>
      <c r="H605" s="37"/>
      <c r="I605" s="37"/>
      <c r="J605" s="37"/>
      <c r="K605" s="37"/>
      <c r="L605" s="37"/>
      <c r="M605" s="37"/>
      <c r="N605" s="37"/>
      <c r="O605" s="37"/>
      <c r="P605" s="37"/>
      <c r="Q605" s="27"/>
      <c r="R605" s="27"/>
      <c r="S605" s="27"/>
      <c r="T605" s="27"/>
      <c r="U605" s="27"/>
      <c r="V605" s="27"/>
      <c r="W605" s="27"/>
    </row>
    <row r="606" spans="1:23" ht="15" customHeight="1" x14ac:dyDescent="0.2">
      <c r="A606" s="37"/>
      <c r="B606" s="37"/>
      <c r="C606" s="37"/>
      <c r="D606" s="37"/>
      <c r="E606" s="37"/>
      <c r="F606" s="37"/>
      <c r="G606" s="37"/>
      <c r="H606" s="37"/>
      <c r="I606" s="37"/>
      <c r="J606" s="37"/>
      <c r="K606" s="37"/>
      <c r="L606" s="37"/>
      <c r="M606" s="37"/>
      <c r="N606" s="37"/>
      <c r="O606" s="37"/>
      <c r="P606" s="37"/>
      <c r="Q606" s="27"/>
      <c r="R606" s="27"/>
      <c r="S606" s="27"/>
      <c r="T606" s="27"/>
      <c r="U606" s="27"/>
      <c r="V606" s="27"/>
      <c r="W606" s="27"/>
    </row>
    <row r="607" spans="1:23" ht="15" customHeight="1" x14ac:dyDescent="0.2">
      <c r="A607" s="37"/>
      <c r="B607" s="37"/>
      <c r="C607" s="37"/>
      <c r="D607" s="37"/>
      <c r="E607" s="37"/>
      <c r="F607" s="37"/>
      <c r="G607" s="37"/>
      <c r="H607" s="37"/>
      <c r="I607" s="37"/>
      <c r="J607" s="37"/>
      <c r="K607" s="37"/>
      <c r="L607" s="37"/>
      <c r="M607" s="37"/>
      <c r="N607" s="37"/>
      <c r="O607" s="37"/>
      <c r="P607" s="37"/>
      <c r="Q607" s="27"/>
      <c r="R607" s="27"/>
      <c r="S607" s="27"/>
      <c r="T607" s="27"/>
      <c r="U607" s="27"/>
      <c r="V607" s="27"/>
      <c r="W607" s="27"/>
    </row>
    <row r="608" spans="1:23" ht="15" customHeight="1" x14ac:dyDescent="0.2">
      <c r="A608" s="37"/>
      <c r="B608" s="37"/>
      <c r="C608" s="37"/>
      <c r="D608" s="37"/>
      <c r="E608" s="37"/>
      <c r="F608" s="37"/>
      <c r="G608" s="37"/>
      <c r="H608" s="37"/>
      <c r="I608" s="37"/>
      <c r="J608" s="37"/>
      <c r="K608" s="37"/>
      <c r="L608" s="37"/>
      <c r="M608" s="37"/>
      <c r="N608" s="37"/>
      <c r="O608" s="37"/>
      <c r="P608" s="37"/>
      <c r="Q608" s="27"/>
      <c r="R608" s="27"/>
      <c r="S608" s="27"/>
      <c r="T608" s="27"/>
      <c r="U608" s="27"/>
      <c r="V608" s="27"/>
      <c r="W608" s="27"/>
    </row>
    <row r="609" spans="1:23" ht="15" customHeight="1" x14ac:dyDescent="0.2">
      <c r="A609" s="37"/>
      <c r="B609" s="37"/>
      <c r="C609" s="37"/>
      <c r="D609" s="37"/>
      <c r="E609" s="37"/>
      <c r="F609" s="37"/>
      <c r="G609" s="37"/>
      <c r="H609" s="37"/>
      <c r="I609" s="37"/>
      <c r="J609" s="37"/>
      <c r="K609" s="37"/>
      <c r="L609" s="37"/>
      <c r="M609" s="37"/>
      <c r="N609" s="37"/>
      <c r="O609" s="37"/>
      <c r="P609" s="37"/>
      <c r="Q609" s="27"/>
      <c r="R609" s="27"/>
      <c r="S609" s="27"/>
      <c r="T609" s="27"/>
      <c r="U609" s="27"/>
      <c r="V609" s="27"/>
      <c r="W609" s="27"/>
    </row>
    <row r="610" spans="1:23" ht="15" customHeight="1" x14ac:dyDescent="0.2">
      <c r="A610" s="37"/>
      <c r="B610" s="37"/>
      <c r="C610" s="37"/>
      <c r="D610" s="37"/>
      <c r="E610" s="37"/>
      <c r="F610" s="37"/>
      <c r="G610" s="37"/>
      <c r="H610" s="37"/>
      <c r="I610" s="37"/>
      <c r="J610" s="37"/>
      <c r="K610" s="37"/>
      <c r="L610" s="37"/>
      <c r="M610" s="37"/>
      <c r="N610" s="37"/>
      <c r="O610" s="37"/>
      <c r="P610" s="37"/>
      <c r="Q610" s="27"/>
      <c r="R610" s="27"/>
      <c r="S610" s="27"/>
      <c r="T610" s="27"/>
      <c r="U610" s="27"/>
      <c r="V610" s="27"/>
      <c r="W610" s="27"/>
    </row>
    <row r="611" spans="1:23" ht="15" customHeight="1" x14ac:dyDescent="0.2">
      <c r="A611" s="37"/>
      <c r="B611" s="37"/>
      <c r="C611" s="37"/>
      <c r="D611" s="37"/>
      <c r="E611" s="37"/>
      <c r="F611" s="37"/>
      <c r="G611" s="37"/>
      <c r="H611" s="37"/>
      <c r="I611" s="37"/>
      <c r="J611" s="37"/>
      <c r="K611" s="37"/>
      <c r="L611" s="37"/>
      <c r="M611" s="37"/>
      <c r="N611" s="37"/>
      <c r="O611" s="37"/>
      <c r="P611" s="37"/>
      <c r="Q611" s="27"/>
      <c r="R611" s="27"/>
      <c r="S611" s="27"/>
      <c r="T611" s="27"/>
      <c r="U611" s="27"/>
      <c r="V611" s="27"/>
      <c r="W611" s="27"/>
    </row>
    <row r="612" spans="1:23" ht="15" customHeight="1" x14ac:dyDescent="0.2">
      <c r="A612" s="37"/>
      <c r="B612" s="37"/>
      <c r="C612" s="37"/>
      <c r="D612" s="37"/>
      <c r="E612" s="37"/>
      <c r="F612" s="37"/>
      <c r="G612" s="37"/>
      <c r="H612" s="37"/>
      <c r="I612" s="37"/>
      <c r="J612" s="37"/>
      <c r="K612" s="37"/>
      <c r="L612" s="37"/>
      <c r="M612" s="37"/>
      <c r="N612" s="37"/>
      <c r="O612" s="37"/>
      <c r="P612" s="37"/>
      <c r="Q612" s="27"/>
      <c r="R612" s="27"/>
      <c r="S612" s="27"/>
      <c r="T612" s="27"/>
      <c r="U612" s="27"/>
      <c r="V612" s="27"/>
      <c r="W612" s="27"/>
    </row>
    <row r="613" spans="1:23" ht="15" customHeight="1" x14ac:dyDescent="0.2">
      <c r="A613" s="37"/>
      <c r="B613" s="37"/>
      <c r="C613" s="37"/>
      <c r="D613" s="37"/>
      <c r="E613" s="37"/>
      <c r="F613" s="37"/>
      <c r="G613" s="37"/>
      <c r="H613" s="37"/>
      <c r="I613" s="37"/>
      <c r="J613" s="37"/>
      <c r="K613" s="37"/>
      <c r="L613" s="37"/>
      <c r="M613" s="37"/>
      <c r="N613" s="37"/>
      <c r="O613" s="37"/>
      <c r="P613" s="37"/>
      <c r="Q613" s="27"/>
      <c r="R613" s="27"/>
      <c r="S613" s="27"/>
      <c r="T613" s="27"/>
      <c r="U613" s="27"/>
      <c r="V613" s="27"/>
      <c r="W613" s="27"/>
    </row>
    <row r="614" spans="1:23" ht="15" customHeight="1" x14ac:dyDescent="0.2">
      <c r="A614" s="37"/>
      <c r="B614" s="37"/>
      <c r="C614" s="37"/>
      <c r="D614" s="37"/>
      <c r="E614" s="37"/>
      <c r="F614" s="37"/>
      <c r="G614" s="37"/>
      <c r="H614" s="37"/>
      <c r="I614" s="37"/>
      <c r="J614" s="37"/>
      <c r="K614" s="37"/>
      <c r="L614" s="37"/>
      <c r="M614" s="37"/>
      <c r="N614" s="37"/>
      <c r="O614" s="37"/>
      <c r="P614" s="37"/>
      <c r="Q614" s="27"/>
      <c r="R614" s="27"/>
      <c r="S614" s="27"/>
      <c r="T614" s="27"/>
      <c r="U614" s="27"/>
      <c r="V614" s="27"/>
      <c r="W614" s="27"/>
    </row>
    <row r="615" spans="1:23" ht="15" customHeight="1" x14ac:dyDescent="0.2">
      <c r="A615" s="37"/>
      <c r="B615" s="37"/>
      <c r="C615" s="37"/>
      <c r="D615" s="37"/>
      <c r="E615" s="37"/>
      <c r="F615" s="37"/>
      <c r="G615" s="37"/>
      <c r="H615" s="37"/>
      <c r="I615" s="37"/>
      <c r="J615" s="37"/>
      <c r="K615" s="37"/>
      <c r="L615" s="37"/>
      <c r="M615" s="37"/>
      <c r="N615" s="37"/>
      <c r="O615" s="37"/>
      <c r="P615" s="37"/>
      <c r="Q615" s="27"/>
      <c r="R615" s="27"/>
      <c r="S615" s="27"/>
      <c r="T615" s="27"/>
      <c r="U615" s="27"/>
      <c r="V615" s="27"/>
      <c r="W615" s="27"/>
    </row>
    <row r="616" spans="1:23" ht="15" customHeight="1" x14ac:dyDescent="0.2">
      <c r="A616" s="37"/>
      <c r="B616" s="37"/>
      <c r="C616" s="37"/>
      <c r="D616" s="37"/>
      <c r="E616" s="37"/>
      <c r="F616" s="37"/>
      <c r="G616" s="37"/>
      <c r="H616" s="37"/>
      <c r="I616" s="37"/>
      <c r="J616" s="37"/>
      <c r="K616" s="37"/>
      <c r="L616" s="37"/>
      <c r="M616" s="37"/>
      <c r="N616" s="37"/>
      <c r="O616" s="37"/>
      <c r="P616" s="37"/>
      <c r="Q616" s="27"/>
      <c r="R616" s="27"/>
      <c r="S616" s="27"/>
      <c r="T616" s="27"/>
      <c r="U616" s="27"/>
      <c r="V616" s="27"/>
      <c r="W616" s="27"/>
    </row>
    <row r="617" spans="1:23" ht="15" customHeight="1" x14ac:dyDescent="0.2">
      <c r="A617" s="37"/>
      <c r="B617" s="37"/>
      <c r="C617" s="37"/>
      <c r="D617" s="37"/>
      <c r="E617" s="37"/>
      <c r="F617" s="37"/>
      <c r="G617" s="37"/>
      <c r="H617" s="37"/>
      <c r="I617" s="37"/>
      <c r="J617" s="37"/>
      <c r="K617" s="37"/>
      <c r="L617" s="37"/>
      <c r="M617" s="37"/>
      <c r="N617" s="37"/>
      <c r="O617" s="37"/>
      <c r="P617" s="37"/>
      <c r="Q617" s="27"/>
      <c r="R617" s="27"/>
      <c r="S617" s="27"/>
      <c r="T617" s="27"/>
      <c r="U617" s="27"/>
      <c r="V617" s="27"/>
      <c r="W617" s="27"/>
    </row>
    <row r="618" spans="1:23" ht="15" customHeight="1" x14ac:dyDescent="0.2">
      <c r="A618" s="37"/>
      <c r="B618" s="37"/>
      <c r="C618" s="37"/>
      <c r="D618" s="37"/>
      <c r="E618" s="37"/>
      <c r="F618" s="37"/>
      <c r="G618" s="37"/>
      <c r="H618" s="37"/>
      <c r="I618" s="37"/>
      <c r="J618" s="37"/>
      <c r="K618" s="37"/>
      <c r="L618" s="37"/>
      <c r="M618" s="37"/>
      <c r="N618" s="37"/>
      <c r="O618" s="37"/>
      <c r="P618" s="37"/>
      <c r="Q618" s="27"/>
      <c r="R618" s="27"/>
      <c r="S618" s="27"/>
      <c r="T618" s="27"/>
      <c r="U618" s="27"/>
      <c r="V618" s="27"/>
      <c r="W618" s="27"/>
    </row>
    <row r="619" spans="1:23" ht="15" customHeight="1" x14ac:dyDescent="0.2">
      <c r="A619" s="37"/>
      <c r="B619" s="37"/>
      <c r="C619" s="37"/>
      <c r="D619" s="37"/>
      <c r="E619" s="37"/>
      <c r="F619" s="37"/>
      <c r="G619" s="37"/>
      <c r="H619" s="37"/>
      <c r="I619" s="37"/>
      <c r="J619" s="37"/>
      <c r="K619" s="37"/>
      <c r="L619" s="37"/>
      <c r="M619" s="37"/>
      <c r="N619" s="37"/>
      <c r="O619" s="37"/>
      <c r="P619" s="37"/>
      <c r="Q619" s="27"/>
      <c r="R619" s="27"/>
      <c r="S619" s="27"/>
      <c r="T619" s="27"/>
      <c r="U619" s="27"/>
      <c r="V619" s="27"/>
      <c r="W619" s="27"/>
    </row>
    <row r="620" spans="1:23" ht="15" customHeight="1" x14ac:dyDescent="0.2">
      <c r="A620" s="37"/>
      <c r="B620" s="37"/>
      <c r="C620" s="37"/>
      <c r="D620" s="37"/>
      <c r="E620" s="37"/>
      <c r="F620" s="37"/>
      <c r="G620" s="37"/>
      <c r="H620" s="37"/>
      <c r="I620" s="37"/>
      <c r="J620" s="37"/>
      <c r="K620" s="37"/>
      <c r="L620" s="37"/>
      <c r="M620" s="37"/>
      <c r="N620" s="37"/>
      <c r="O620" s="37"/>
      <c r="P620" s="37"/>
      <c r="Q620" s="27"/>
      <c r="R620" s="27"/>
      <c r="S620" s="27"/>
      <c r="T620" s="27"/>
      <c r="U620" s="27"/>
      <c r="V620" s="27"/>
      <c r="W620" s="27"/>
    </row>
    <row r="621" spans="1:23" ht="15" customHeight="1" x14ac:dyDescent="0.2">
      <c r="A621" s="37"/>
      <c r="B621" s="37"/>
      <c r="C621" s="37"/>
      <c r="D621" s="37"/>
      <c r="E621" s="37"/>
      <c r="F621" s="37"/>
      <c r="G621" s="37"/>
      <c r="H621" s="37"/>
      <c r="I621" s="37"/>
      <c r="J621" s="37"/>
      <c r="K621" s="37"/>
      <c r="L621" s="37"/>
      <c r="M621" s="37"/>
      <c r="N621" s="37"/>
      <c r="O621" s="37"/>
      <c r="P621" s="37"/>
      <c r="Q621" s="27"/>
      <c r="R621" s="27"/>
      <c r="S621" s="27"/>
      <c r="T621" s="27"/>
      <c r="U621" s="27"/>
      <c r="V621" s="27"/>
      <c r="W621" s="27"/>
    </row>
    <row r="622" spans="1:23" ht="15" customHeight="1" x14ac:dyDescent="0.2">
      <c r="A622" s="37"/>
      <c r="B622" s="37"/>
      <c r="C622" s="37"/>
      <c r="D622" s="37"/>
      <c r="E622" s="37"/>
      <c r="F622" s="37"/>
      <c r="G622" s="37"/>
      <c r="H622" s="37"/>
      <c r="I622" s="37"/>
      <c r="J622" s="37"/>
      <c r="K622" s="37"/>
      <c r="L622" s="37"/>
      <c r="M622" s="37"/>
      <c r="N622" s="37"/>
      <c r="O622" s="37"/>
      <c r="P622" s="37"/>
      <c r="Q622" s="27"/>
      <c r="R622" s="27"/>
      <c r="S622" s="27"/>
      <c r="T622" s="27"/>
      <c r="U622" s="27"/>
      <c r="V622" s="27"/>
      <c r="W622" s="27"/>
    </row>
    <row r="623" spans="1:23" ht="15" customHeight="1" x14ac:dyDescent="0.2">
      <c r="A623" s="37"/>
      <c r="B623" s="37"/>
      <c r="C623" s="37"/>
      <c r="D623" s="37"/>
      <c r="E623" s="37"/>
      <c r="F623" s="37"/>
      <c r="G623" s="37"/>
      <c r="H623" s="37"/>
      <c r="I623" s="37"/>
      <c r="J623" s="37"/>
      <c r="K623" s="37"/>
      <c r="L623" s="37"/>
      <c r="M623" s="37"/>
      <c r="N623" s="37"/>
      <c r="O623" s="37"/>
      <c r="P623" s="37"/>
      <c r="Q623" s="27"/>
      <c r="R623" s="27"/>
      <c r="S623" s="27"/>
      <c r="T623" s="27"/>
      <c r="U623" s="27"/>
      <c r="V623" s="27"/>
      <c r="W623" s="27"/>
    </row>
    <row r="624" spans="1:23" ht="15" customHeight="1" x14ac:dyDescent="0.2">
      <c r="A624" s="37"/>
      <c r="B624" s="37"/>
      <c r="C624" s="37"/>
      <c r="D624" s="37"/>
      <c r="E624" s="37"/>
      <c r="F624" s="37"/>
      <c r="G624" s="37"/>
      <c r="H624" s="37"/>
      <c r="I624" s="37"/>
      <c r="J624" s="37"/>
      <c r="K624" s="37"/>
      <c r="L624" s="37"/>
      <c r="M624" s="37"/>
      <c r="N624" s="37"/>
      <c r="O624" s="37"/>
      <c r="P624" s="37"/>
      <c r="Q624" s="27"/>
      <c r="R624" s="27"/>
      <c r="S624" s="27"/>
      <c r="T624" s="27"/>
      <c r="U624" s="27"/>
      <c r="V624" s="27"/>
      <c r="W624" s="27"/>
    </row>
    <row r="625" spans="1:23" ht="15" customHeight="1" x14ac:dyDescent="0.2">
      <c r="A625" s="37"/>
      <c r="B625" s="37"/>
      <c r="C625" s="37"/>
      <c r="D625" s="37"/>
      <c r="E625" s="37"/>
      <c r="F625" s="37"/>
      <c r="G625" s="37"/>
      <c r="H625" s="37"/>
      <c r="I625" s="37"/>
      <c r="J625" s="37"/>
      <c r="K625" s="37"/>
      <c r="L625" s="37"/>
      <c r="M625" s="37"/>
      <c r="N625" s="37"/>
      <c r="O625" s="37"/>
      <c r="P625" s="37"/>
      <c r="Q625" s="27"/>
      <c r="R625" s="27"/>
      <c r="S625" s="27"/>
      <c r="T625" s="27"/>
      <c r="U625" s="27"/>
      <c r="V625" s="27"/>
      <c r="W625" s="27"/>
    </row>
    <row r="626" spans="1:23" ht="15" customHeight="1" x14ac:dyDescent="0.2">
      <c r="A626" s="37"/>
      <c r="B626" s="37"/>
      <c r="C626" s="37"/>
      <c r="D626" s="37"/>
      <c r="E626" s="37"/>
      <c r="F626" s="37"/>
      <c r="G626" s="37"/>
      <c r="H626" s="37"/>
      <c r="I626" s="37"/>
      <c r="J626" s="37"/>
      <c r="K626" s="37"/>
      <c r="L626" s="37"/>
      <c r="M626" s="37"/>
      <c r="N626" s="37"/>
      <c r="O626" s="37"/>
      <c r="P626" s="37"/>
      <c r="Q626" s="27"/>
      <c r="R626" s="27"/>
      <c r="S626" s="27"/>
      <c r="T626" s="27"/>
      <c r="U626" s="27"/>
      <c r="V626" s="27"/>
      <c r="W626" s="27"/>
    </row>
    <row r="627" spans="1:23" ht="15" customHeight="1" x14ac:dyDescent="0.2">
      <c r="A627" s="37"/>
      <c r="B627" s="37"/>
      <c r="C627" s="37"/>
      <c r="D627" s="37"/>
      <c r="E627" s="37"/>
      <c r="F627" s="37"/>
      <c r="G627" s="37"/>
      <c r="H627" s="37"/>
      <c r="I627" s="37"/>
      <c r="J627" s="37"/>
      <c r="K627" s="37"/>
      <c r="L627" s="37"/>
      <c r="M627" s="37"/>
      <c r="N627" s="37"/>
      <c r="O627" s="37"/>
      <c r="P627" s="37"/>
      <c r="Q627" s="27"/>
      <c r="R627" s="27"/>
      <c r="S627" s="27"/>
      <c r="T627" s="27"/>
      <c r="U627" s="27"/>
      <c r="V627" s="27"/>
      <c r="W627" s="27"/>
    </row>
    <row r="628" spans="1:23" ht="15" customHeight="1" x14ac:dyDescent="0.2">
      <c r="A628" s="37"/>
      <c r="B628" s="37"/>
      <c r="C628" s="37"/>
      <c r="D628" s="37"/>
      <c r="E628" s="37"/>
      <c r="F628" s="37"/>
      <c r="G628" s="37"/>
      <c r="H628" s="37"/>
      <c r="I628" s="37"/>
      <c r="J628" s="37"/>
      <c r="K628" s="37"/>
      <c r="L628" s="37"/>
      <c r="M628" s="37"/>
      <c r="N628" s="37"/>
      <c r="O628" s="37"/>
      <c r="P628" s="37"/>
      <c r="Q628" s="27"/>
      <c r="R628" s="27"/>
      <c r="S628" s="27"/>
      <c r="T628" s="27"/>
      <c r="U628" s="27"/>
      <c r="V628" s="27"/>
      <c r="W628" s="27"/>
    </row>
    <row r="629" spans="1:23" ht="15" customHeight="1" x14ac:dyDescent="0.2">
      <c r="A629" s="37"/>
      <c r="B629" s="37"/>
      <c r="C629" s="37"/>
      <c r="D629" s="37"/>
      <c r="E629" s="37"/>
      <c r="F629" s="37"/>
      <c r="G629" s="37"/>
      <c r="H629" s="37"/>
      <c r="I629" s="37"/>
      <c r="J629" s="37"/>
      <c r="K629" s="37"/>
      <c r="L629" s="37"/>
      <c r="M629" s="37"/>
      <c r="N629" s="37"/>
      <c r="O629" s="37"/>
      <c r="P629" s="37"/>
      <c r="Q629" s="27"/>
      <c r="R629" s="27"/>
      <c r="S629" s="27"/>
      <c r="T629" s="27"/>
      <c r="U629" s="27"/>
      <c r="V629" s="27"/>
      <c r="W629" s="27"/>
    </row>
    <row r="630" spans="1:23" ht="15" customHeight="1" x14ac:dyDescent="0.2">
      <c r="A630" s="37"/>
      <c r="B630" s="37"/>
      <c r="C630" s="37"/>
      <c r="D630" s="37"/>
      <c r="E630" s="37"/>
      <c r="F630" s="37"/>
      <c r="G630" s="37"/>
      <c r="H630" s="37"/>
      <c r="I630" s="37"/>
      <c r="J630" s="37"/>
      <c r="K630" s="37"/>
      <c r="L630" s="37"/>
      <c r="M630" s="37"/>
      <c r="N630" s="37"/>
      <c r="O630" s="37"/>
      <c r="P630" s="37"/>
      <c r="Q630" s="27"/>
      <c r="R630" s="27"/>
      <c r="S630" s="27"/>
      <c r="T630" s="27"/>
      <c r="U630" s="27"/>
      <c r="V630" s="27"/>
      <c r="W630" s="27"/>
    </row>
    <row r="631" spans="1:23" ht="15" customHeight="1" x14ac:dyDescent="0.2">
      <c r="A631" s="37"/>
      <c r="B631" s="37"/>
      <c r="C631" s="37"/>
      <c r="D631" s="37"/>
      <c r="E631" s="37"/>
      <c r="F631" s="37"/>
      <c r="G631" s="37"/>
      <c r="H631" s="37"/>
      <c r="I631" s="37"/>
      <c r="J631" s="37"/>
      <c r="K631" s="37"/>
      <c r="L631" s="37"/>
      <c r="M631" s="37"/>
      <c r="N631" s="37"/>
      <c r="O631" s="37"/>
      <c r="P631" s="37"/>
      <c r="Q631" s="27"/>
      <c r="R631" s="27"/>
      <c r="S631" s="27"/>
      <c r="T631" s="27"/>
      <c r="U631" s="27"/>
      <c r="V631" s="27"/>
      <c r="W631" s="27"/>
    </row>
    <row r="632" spans="1:23" ht="15" customHeight="1" x14ac:dyDescent="0.2">
      <c r="A632" s="37"/>
      <c r="B632" s="37"/>
      <c r="C632" s="37"/>
      <c r="D632" s="37"/>
      <c r="E632" s="37"/>
      <c r="F632" s="37"/>
      <c r="G632" s="37"/>
      <c r="H632" s="37"/>
      <c r="I632" s="37"/>
      <c r="J632" s="37"/>
      <c r="K632" s="37"/>
      <c r="L632" s="37"/>
      <c r="M632" s="37"/>
      <c r="N632" s="37"/>
      <c r="O632" s="37"/>
      <c r="P632" s="37"/>
      <c r="Q632" s="27"/>
      <c r="R632" s="27"/>
      <c r="S632" s="27"/>
      <c r="T632" s="27"/>
      <c r="U632" s="27"/>
      <c r="V632" s="27"/>
      <c r="W632" s="27"/>
    </row>
    <row r="633" spans="1:23" ht="15" customHeight="1" x14ac:dyDescent="0.2">
      <c r="A633" s="37"/>
      <c r="B633" s="37"/>
      <c r="C633" s="37"/>
      <c r="D633" s="37"/>
      <c r="E633" s="37"/>
      <c r="F633" s="37"/>
      <c r="G633" s="37"/>
      <c r="H633" s="37"/>
      <c r="I633" s="37"/>
      <c r="J633" s="37"/>
      <c r="K633" s="37"/>
      <c r="L633" s="37"/>
      <c r="M633" s="37"/>
      <c r="N633" s="37"/>
      <c r="O633" s="37"/>
      <c r="P633" s="37"/>
      <c r="Q633" s="27"/>
      <c r="R633" s="27"/>
      <c r="S633" s="27"/>
      <c r="T633" s="27"/>
      <c r="U633" s="27"/>
      <c r="V633" s="27"/>
      <c r="W633" s="27"/>
    </row>
    <row r="634" spans="1:23" ht="15" customHeight="1" x14ac:dyDescent="0.2">
      <c r="A634" s="37"/>
      <c r="B634" s="37"/>
      <c r="C634" s="37"/>
      <c r="D634" s="37"/>
      <c r="E634" s="37"/>
      <c r="F634" s="37"/>
      <c r="G634" s="37"/>
      <c r="H634" s="37"/>
      <c r="I634" s="37"/>
      <c r="J634" s="37"/>
      <c r="K634" s="37"/>
      <c r="L634" s="37"/>
      <c r="M634" s="37"/>
      <c r="N634" s="37"/>
      <c r="O634" s="37"/>
      <c r="P634" s="37"/>
      <c r="Q634" s="27"/>
      <c r="R634" s="27"/>
      <c r="S634" s="27"/>
      <c r="T634" s="27"/>
      <c r="U634" s="27"/>
      <c r="V634" s="27"/>
      <c r="W634" s="27"/>
    </row>
    <row r="635" spans="1:23" ht="15" customHeight="1" x14ac:dyDescent="0.2">
      <c r="A635" s="37"/>
      <c r="B635" s="37"/>
      <c r="C635" s="37"/>
      <c r="D635" s="37"/>
      <c r="E635" s="37"/>
      <c r="F635" s="37"/>
      <c r="G635" s="37"/>
      <c r="H635" s="37"/>
      <c r="I635" s="37"/>
      <c r="J635" s="37"/>
      <c r="K635" s="37"/>
      <c r="L635" s="37"/>
      <c r="M635" s="37"/>
      <c r="N635" s="37"/>
      <c r="O635" s="37"/>
      <c r="P635" s="37"/>
      <c r="Q635" s="27"/>
      <c r="R635" s="27"/>
      <c r="S635" s="27"/>
      <c r="T635" s="27"/>
      <c r="U635" s="27"/>
      <c r="V635" s="27"/>
      <c r="W635" s="27"/>
    </row>
    <row r="636" spans="1:23" ht="15" customHeight="1" x14ac:dyDescent="0.2">
      <c r="A636" s="37"/>
      <c r="B636" s="37"/>
      <c r="C636" s="37"/>
      <c r="D636" s="37"/>
      <c r="E636" s="37"/>
      <c r="F636" s="37"/>
      <c r="G636" s="37"/>
      <c r="H636" s="37"/>
      <c r="I636" s="37"/>
      <c r="J636" s="37"/>
      <c r="K636" s="37"/>
      <c r="L636" s="37"/>
      <c r="M636" s="37"/>
      <c r="N636" s="37"/>
      <c r="O636" s="37"/>
      <c r="P636" s="37"/>
      <c r="Q636" s="27"/>
      <c r="R636" s="27"/>
      <c r="S636" s="27"/>
      <c r="T636" s="27"/>
      <c r="U636" s="27"/>
      <c r="V636" s="27"/>
      <c r="W636" s="27"/>
    </row>
    <row r="637" spans="1:23" ht="15" customHeight="1" x14ac:dyDescent="0.2">
      <c r="A637" s="37"/>
      <c r="B637" s="37"/>
      <c r="C637" s="37"/>
      <c r="D637" s="37"/>
      <c r="E637" s="37"/>
      <c r="F637" s="37"/>
      <c r="G637" s="37"/>
      <c r="H637" s="37"/>
      <c r="I637" s="37"/>
      <c r="J637" s="37"/>
      <c r="K637" s="37"/>
      <c r="L637" s="37"/>
      <c r="M637" s="37"/>
      <c r="N637" s="37"/>
      <c r="O637" s="37"/>
      <c r="P637" s="37"/>
      <c r="Q637" s="27"/>
      <c r="R637" s="27"/>
      <c r="S637" s="27"/>
      <c r="T637" s="27"/>
      <c r="U637" s="27"/>
      <c r="V637" s="27"/>
      <c r="W637" s="27"/>
    </row>
    <row r="638" spans="1:23" ht="15" customHeight="1" x14ac:dyDescent="0.2">
      <c r="A638" s="37"/>
      <c r="B638" s="37"/>
      <c r="C638" s="37"/>
      <c r="D638" s="37"/>
      <c r="E638" s="37"/>
      <c r="F638" s="37"/>
      <c r="G638" s="37"/>
      <c r="H638" s="37"/>
      <c r="I638" s="37"/>
      <c r="J638" s="37"/>
      <c r="K638" s="37"/>
      <c r="L638" s="37"/>
      <c r="M638" s="37"/>
      <c r="N638" s="37"/>
      <c r="O638" s="37"/>
      <c r="P638" s="37"/>
      <c r="Q638" s="27"/>
      <c r="R638" s="27"/>
      <c r="S638" s="27"/>
      <c r="T638" s="27"/>
      <c r="U638" s="27"/>
      <c r="V638" s="27"/>
      <c r="W638" s="27"/>
    </row>
    <row r="639" spans="1:23" ht="15" customHeight="1" x14ac:dyDescent="0.2">
      <c r="A639" s="37"/>
      <c r="B639" s="37"/>
      <c r="C639" s="37"/>
      <c r="D639" s="37"/>
      <c r="E639" s="37"/>
      <c r="F639" s="37"/>
      <c r="G639" s="37"/>
      <c r="H639" s="37"/>
      <c r="I639" s="37"/>
      <c r="J639" s="37"/>
      <c r="K639" s="37"/>
      <c r="L639" s="37"/>
      <c r="M639" s="37"/>
      <c r="N639" s="37"/>
      <c r="O639" s="37"/>
      <c r="P639" s="37"/>
      <c r="Q639" s="27"/>
      <c r="R639" s="27"/>
      <c r="S639" s="27"/>
      <c r="T639" s="27"/>
      <c r="U639" s="27"/>
      <c r="V639" s="27"/>
      <c r="W639" s="27"/>
    </row>
    <row r="640" spans="1:23" ht="15" customHeight="1" x14ac:dyDescent="0.2">
      <c r="A640" s="37"/>
      <c r="B640" s="37"/>
      <c r="C640" s="37"/>
      <c r="D640" s="37"/>
      <c r="E640" s="37"/>
      <c r="F640" s="37"/>
      <c r="G640" s="37"/>
      <c r="H640" s="37"/>
      <c r="I640" s="37"/>
      <c r="J640" s="37"/>
      <c r="K640" s="37"/>
      <c r="L640" s="37"/>
      <c r="M640" s="37"/>
      <c r="N640" s="37"/>
      <c r="O640" s="37"/>
      <c r="P640" s="37"/>
      <c r="Q640" s="27"/>
      <c r="R640" s="27"/>
      <c r="S640" s="27"/>
      <c r="T640" s="27"/>
      <c r="U640" s="27"/>
      <c r="V640" s="27"/>
      <c r="W640" s="27"/>
    </row>
    <row r="641" spans="1:23" ht="15" customHeight="1" x14ac:dyDescent="0.2">
      <c r="A641" s="37"/>
      <c r="B641" s="37"/>
      <c r="C641" s="37"/>
      <c r="D641" s="37"/>
      <c r="E641" s="37"/>
      <c r="F641" s="37"/>
      <c r="G641" s="37"/>
      <c r="H641" s="37"/>
      <c r="I641" s="37"/>
      <c r="J641" s="37"/>
      <c r="K641" s="37"/>
      <c r="L641" s="37"/>
      <c r="M641" s="37"/>
      <c r="N641" s="37"/>
      <c r="O641" s="37"/>
      <c r="P641" s="37"/>
      <c r="Q641" s="27"/>
      <c r="R641" s="27"/>
      <c r="S641" s="27"/>
      <c r="T641" s="27"/>
      <c r="U641" s="27"/>
      <c r="V641" s="27"/>
      <c r="W641" s="27"/>
    </row>
    <row r="642" spans="1:23" ht="15" customHeight="1" x14ac:dyDescent="0.2">
      <c r="A642" s="37"/>
      <c r="B642" s="37"/>
      <c r="C642" s="37"/>
      <c r="D642" s="37"/>
      <c r="E642" s="37"/>
      <c r="F642" s="37"/>
      <c r="G642" s="37"/>
      <c r="H642" s="37"/>
      <c r="I642" s="37"/>
      <c r="J642" s="37"/>
      <c r="K642" s="37"/>
      <c r="L642" s="37"/>
      <c r="M642" s="37"/>
      <c r="N642" s="37"/>
      <c r="O642" s="37"/>
      <c r="P642" s="37"/>
      <c r="Q642" s="27"/>
      <c r="R642" s="27"/>
      <c r="S642" s="27"/>
      <c r="T642" s="27"/>
      <c r="U642" s="27"/>
      <c r="V642" s="27"/>
      <c r="W642" s="27"/>
    </row>
    <row r="643" spans="1:23" ht="15" customHeight="1" x14ac:dyDescent="0.2">
      <c r="A643" s="37"/>
      <c r="B643" s="37"/>
      <c r="C643" s="37"/>
      <c r="D643" s="37"/>
      <c r="E643" s="37"/>
      <c r="F643" s="37"/>
      <c r="G643" s="37"/>
      <c r="H643" s="37"/>
      <c r="I643" s="37"/>
      <c r="J643" s="37"/>
      <c r="K643" s="37"/>
      <c r="L643" s="37"/>
      <c r="M643" s="37"/>
      <c r="N643" s="37"/>
      <c r="O643" s="37"/>
      <c r="P643" s="37"/>
      <c r="Q643" s="27"/>
      <c r="R643" s="27"/>
      <c r="S643" s="27"/>
      <c r="T643" s="27"/>
      <c r="U643" s="27"/>
      <c r="V643" s="27"/>
      <c r="W643" s="27"/>
    </row>
    <row r="644" spans="1:23" ht="15" customHeight="1" x14ac:dyDescent="0.2">
      <c r="A644" s="37"/>
      <c r="B644" s="37"/>
      <c r="C644" s="37"/>
      <c r="D644" s="37"/>
      <c r="E644" s="37"/>
      <c r="F644" s="37"/>
      <c r="G644" s="37"/>
      <c r="H644" s="37"/>
      <c r="I644" s="37"/>
      <c r="J644" s="37"/>
      <c r="K644" s="37"/>
      <c r="L644" s="37"/>
      <c r="M644" s="37"/>
      <c r="N644" s="37"/>
      <c r="O644" s="37"/>
      <c r="P644" s="37"/>
      <c r="Q644" s="27"/>
      <c r="R644" s="27"/>
      <c r="S644" s="27"/>
      <c r="T644" s="27"/>
      <c r="U644" s="27"/>
      <c r="V644" s="27"/>
      <c r="W644" s="27"/>
    </row>
    <row r="645" spans="1:23" ht="15" customHeight="1" x14ac:dyDescent="0.2">
      <c r="A645" s="37"/>
      <c r="B645" s="37"/>
      <c r="C645" s="37"/>
      <c r="D645" s="37"/>
      <c r="E645" s="37"/>
      <c r="F645" s="37"/>
      <c r="G645" s="37"/>
      <c r="H645" s="37"/>
      <c r="I645" s="37"/>
      <c r="J645" s="37"/>
      <c r="K645" s="37"/>
      <c r="L645" s="37"/>
      <c r="M645" s="37"/>
      <c r="N645" s="37"/>
      <c r="O645" s="37"/>
      <c r="P645" s="37"/>
      <c r="Q645" s="27"/>
      <c r="R645" s="27"/>
      <c r="S645" s="27"/>
      <c r="T645" s="27"/>
      <c r="U645" s="27"/>
      <c r="V645" s="27"/>
      <c r="W645" s="27"/>
    </row>
    <row r="646" spans="1:23" ht="15" customHeight="1" x14ac:dyDescent="0.2">
      <c r="A646" s="37"/>
      <c r="B646" s="37"/>
      <c r="C646" s="37"/>
      <c r="D646" s="37"/>
      <c r="E646" s="37"/>
      <c r="F646" s="37"/>
      <c r="G646" s="37"/>
      <c r="H646" s="37"/>
      <c r="I646" s="37"/>
      <c r="J646" s="37"/>
      <c r="K646" s="37"/>
      <c r="L646" s="37"/>
      <c r="M646" s="37"/>
      <c r="N646" s="37"/>
      <c r="O646" s="37"/>
      <c r="P646" s="37"/>
      <c r="Q646" s="27"/>
      <c r="R646" s="27"/>
      <c r="S646" s="27"/>
      <c r="T646" s="27"/>
      <c r="U646" s="27"/>
      <c r="V646" s="27"/>
      <c r="W646" s="27"/>
    </row>
    <row r="647" spans="1:23" ht="15" customHeight="1" x14ac:dyDescent="0.2">
      <c r="A647" s="37"/>
      <c r="B647" s="37"/>
      <c r="C647" s="37"/>
      <c r="D647" s="37"/>
      <c r="E647" s="37"/>
      <c r="F647" s="37"/>
      <c r="G647" s="37"/>
      <c r="H647" s="37"/>
      <c r="I647" s="37"/>
      <c r="J647" s="37"/>
      <c r="K647" s="37"/>
      <c r="L647" s="37"/>
      <c r="M647" s="37"/>
      <c r="N647" s="37"/>
      <c r="O647" s="37"/>
      <c r="P647" s="37"/>
      <c r="Q647" s="27"/>
      <c r="R647" s="27"/>
      <c r="S647" s="27"/>
      <c r="T647" s="27"/>
      <c r="U647" s="27"/>
      <c r="V647" s="27"/>
      <c r="W647" s="27"/>
    </row>
    <row r="648" spans="1:23" ht="15" customHeight="1" x14ac:dyDescent="0.2">
      <c r="A648" s="37"/>
      <c r="B648" s="37"/>
      <c r="C648" s="37"/>
      <c r="D648" s="37"/>
      <c r="E648" s="37"/>
      <c r="F648" s="37"/>
      <c r="G648" s="37"/>
      <c r="H648" s="37"/>
      <c r="I648" s="37"/>
      <c r="J648" s="37"/>
      <c r="K648" s="37"/>
      <c r="L648" s="37"/>
      <c r="M648" s="37"/>
      <c r="N648" s="37"/>
      <c r="O648" s="37"/>
      <c r="P648" s="37"/>
      <c r="Q648" s="27"/>
      <c r="R648" s="27"/>
      <c r="S648" s="27"/>
      <c r="T648" s="27"/>
      <c r="U648" s="27"/>
      <c r="V648" s="27"/>
      <c r="W648" s="27"/>
    </row>
    <row r="649" spans="1:23" ht="15" customHeight="1" x14ac:dyDescent="0.2">
      <c r="A649" s="37"/>
      <c r="B649" s="37"/>
      <c r="C649" s="37"/>
      <c r="D649" s="37"/>
      <c r="E649" s="37"/>
      <c r="F649" s="37"/>
      <c r="G649" s="37"/>
      <c r="H649" s="37"/>
      <c r="I649" s="37"/>
      <c r="J649" s="37"/>
      <c r="K649" s="37"/>
      <c r="L649" s="37"/>
      <c r="M649" s="37"/>
      <c r="N649" s="37"/>
      <c r="O649" s="37"/>
      <c r="P649" s="37"/>
      <c r="Q649" s="27"/>
      <c r="R649" s="27"/>
      <c r="S649" s="27"/>
      <c r="T649" s="27"/>
      <c r="U649" s="27"/>
      <c r="V649" s="27"/>
      <c r="W649" s="27"/>
    </row>
    <row r="650" spans="1:23" ht="15" customHeight="1" x14ac:dyDescent="0.2">
      <c r="A650" s="37"/>
      <c r="B650" s="37"/>
      <c r="C650" s="37"/>
      <c r="D650" s="37"/>
      <c r="E650" s="37"/>
      <c r="F650" s="37"/>
      <c r="G650" s="37"/>
      <c r="H650" s="37"/>
      <c r="I650" s="37"/>
      <c r="J650" s="37"/>
      <c r="K650" s="37"/>
      <c r="L650" s="37"/>
      <c r="M650" s="37"/>
      <c r="N650" s="37"/>
      <c r="O650" s="37"/>
      <c r="P650" s="37"/>
      <c r="Q650" s="27"/>
      <c r="R650" s="27"/>
      <c r="S650" s="27"/>
      <c r="T650" s="27"/>
      <c r="U650" s="27"/>
      <c r="V650" s="27"/>
      <c r="W650" s="27"/>
    </row>
    <row r="651" spans="1:23" ht="15" customHeight="1" x14ac:dyDescent="0.2">
      <c r="A651" s="37"/>
      <c r="B651" s="37"/>
      <c r="C651" s="37"/>
      <c r="D651" s="37"/>
      <c r="E651" s="37"/>
      <c r="F651" s="37"/>
      <c r="G651" s="37"/>
      <c r="H651" s="37"/>
      <c r="I651" s="37"/>
      <c r="J651" s="37"/>
      <c r="K651" s="37"/>
      <c r="L651" s="37"/>
      <c r="M651" s="37"/>
      <c r="N651" s="37"/>
      <c r="O651" s="37"/>
      <c r="P651" s="37"/>
      <c r="Q651" s="27"/>
      <c r="R651" s="27"/>
      <c r="S651" s="27"/>
      <c r="T651" s="27"/>
      <c r="U651" s="27"/>
      <c r="V651" s="27"/>
      <c r="W651" s="27"/>
    </row>
    <row r="652" spans="1:23" ht="15" customHeight="1" x14ac:dyDescent="0.2">
      <c r="A652" s="37"/>
      <c r="B652" s="37"/>
      <c r="C652" s="37"/>
      <c r="D652" s="37"/>
      <c r="E652" s="37"/>
      <c r="F652" s="37"/>
      <c r="G652" s="37"/>
      <c r="H652" s="37"/>
      <c r="I652" s="37"/>
      <c r="J652" s="37"/>
      <c r="K652" s="37"/>
      <c r="L652" s="37"/>
      <c r="M652" s="37"/>
      <c r="N652" s="37"/>
      <c r="O652" s="37"/>
      <c r="P652" s="37"/>
      <c r="Q652" s="27"/>
      <c r="R652" s="27"/>
      <c r="S652" s="27"/>
      <c r="T652" s="27"/>
      <c r="U652" s="27"/>
      <c r="V652" s="27"/>
      <c r="W652" s="27"/>
    </row>
    <row r="653" spans="1:23" ht="15" customHeight="1" x14ac:dyDescent="0.2">
      <c r="A653" s="37"/>
      <c r="B653" s="37"/>
      <c r="C653" s="37"/>
      <c r="D653" s="37"/>
      <c r="E653" s="37"/>
      <c r="F653" s="37"/>
      <c r="G653" s="37"/>
      <c r="H653" s="37"/>
      <c r="I653" s="37"/>
      <c r="J653" s="37"/>
      <c r="K653" s="37"/>
      <c r="L653" s="37"/>
      <c r="M653" s="37"/>
      <c r="N653" s="37"/>
      <c r="O653" s="37"/>
      <c r="P653" s="37"/>
      <c r="Q653" s="27"/>
      <c r="R653" s="27"/>
      <c r="S653" s="27"/>
      <c r="T653" s="27"/>
      <c r="U653" s="27"/>
      <c r="V653" s="27"/>
      <c r="W653" s="27"/>
    </row>
    <row r="654" spans="1:23" ht="15" customHeight="1" x14ac:dyDescent="0.2">
      <c r="A654" s="37"/>
      <c r="B654" s="37"/>
      <c r="C654" s="37"/>
      <c r="D654" s="37"/>
      <c r="E654" s="37"/>
      <c r="F654" s="37"/>
      <c r="G654" s="37"/>
      <c r="H654" s="37"/>
      <c r="I654" s="37"/>
      <c r="J654" s="37"/>
      <c r="K654" s="37"/>
      <c r="L654" s="37"/>
      <c r="M654" s="37"/>
      <c r="N654" s="37"/>
      <c r="O654" s="37"/>
      <c r="P654" s="37"/>
      <c r="Q654" s="27"/>
      <c r="R654" s="27"/>
      <c r="S654" s="27"/>
      <c r="T654" s="27"/>
      <c r="U654" s="27"/>
      <c r="V654" s="27"/>
      <c r="W654" s="27"/>
    </row>
    <row r="655" spans="1:23" ht="15" customHeight="1" x14ac:dyDescent="0.2">
      <c r="A655" s="37"/>
      <c r="B655" s="37"/>
      <c r="C655" s="37"/>
      <c r="D655" s="37"/>
      <c r="E655" s="37"/>
      <c r="F655" s="37"/>
      <c r="G655" s="37"/>
      <c r="H655" s="37"/>
      <c r="I655" s="37"/>
      <c r="J655" s="37"/>
      <c r="K655" s="37"/>
      <c r="L655" s="37"/>
      <c r="M655" s="37"/>
      <c r="N655" s="37"/>
      <c r="O655" s="37"/>
      <c r="P655" s="37"/>
      <c r="Q655" s="27"/>
      <c r="R655" s="27"/>
      <c r="S655" s="27"/>
      <c r="T655" s="27"/>
      <c r="U655" s="27"/>
      <c r="V655" s="27"/>
      <c r="W655" s="27"/>
    </row>
    <row r="656" spans="1:23" ht="15" customHeight="1" x14ac:dyDescent="0.2">
      <c r="A656" s="37"/>
      <c r="B656" s="37"/>
      <c r="C656" s="37"/>
      <c r="D656" s="37"/>
      <c r="E656" s="37"/>
      <c r="F656" s="37"/>
      <c r="G656" s="37"/>
      <c r="H656" s="37"/>
      <c r="I656" s="37"/>
      <c r="J656" s="37"/>
      <c r="K656" s="37"/>
      <c r="L656" s="37"/>
      <c r="M656" s="37"/>
      <c r="N656" s="37"/>
      <c r="O656" s="37"/>
      <c r="P656" s="37"/>
      <c r="Q656" s="27"/>
      <c r="R656" s="27"/>
      <c r="S656" s="27"/>
      <c r="T656" s="27"/>
      <c r="U656" s="27"/>
      <c r="V656" s="27"/>
      <c r="W656" s="27"/>
    </row>
    <row r="657" spans="1:23" ht="15" customHeight="1" x14ac:dyDescent="0.2">
      <c r="A657" s="37"/>
      <c r="B657" s="37"/>
      <c r="C657" s="37"/>
      <c r="D657" s="37"/>
      <c r="E657" s="37"/>
      <c r="F657" s="37"/>
      <c r="G657" s="37"/>
      <c r="H657" s="37"/>
      <c r="I657" s="37"/>
      <c r="J657" s="37"/>
      <c r="K657" s="37"/>
      <c r="L657" s="37"/>
      <c r="M657" s="37"/>
      <c r="N657" s="37"/>
      <c r="O657" s="37"/>
      <c r="P657" s="37"/>
      <c r="Q657" s="27"/>
      <c r="R657" s="27"/>
      <c r="S657" s="27"/>
      <c r="T657" s="27"/>
      <c r="U657" s="27"/>
      <c r="V657" s="27"/>
      <c r="W657" s="27"/>
    </row>
    <row r="658" spans="1:23" ht="15" customHeight="1" x14ac:dyDescent="0.2">
      <c r="A658" s="37"/>
      <c r="B658" s="37"/>
      <c r="C658" s="37"/>
      <c r="D658" s="37"/>
      <c r="E658" s="37"/>
      <c r="F658" s="37"/>
      <c r="G658" s="37"/>
      <c r="H658" s="37"/>
      <c r="I658" s="37"/>
      <c r="J658" s="37"/>
      <c r="K658" s="37"/>
      <c r="L658" s="37"/>
      <c r="M658" s="37"/>
      <c r="N658" s="37"/>
      <c r="O658" s="37"/>
      <c r="P658" s="37"/>
      <c r="Q658" s="27"/>
      <c r="R658" s="27"/>
      <c r="S658" s="27"/>
      <c r="T658" s="27"/>
      <c r="U658" s="27"/>
      <c r="V658" s="27"/>
      <c r="W658" s="27"/>
    </row>
    <row r="659" spans="1:23" ht="15" customHeight="1" x14ac:dyDescent="0.2">
      <c r="A659" s="37"/>
      <c r="B659" s="37"/>
      <c r="C659" s="37"/>
      <c r="D659" s="37"/>
      <c r="E659" s="37"/>
      <c r="F659" s="37"/>
      <c r="G659" s="37"/>
      <c r="H659" s="37"/>
      <c r="I659" s="37"/>
      <c r="J659" s="37"/>
      <c r="K659" s="37"/>
      <c r="L659" s="37"/>
      <c r="M659" s="37"/>
      <c r="N659" s="37"/>
      <c r="O659" s="37"/>
      <c r="P659" s="37"/>
      <c r="Q659" s="27"/>
      <c r="R659" s="27"/>
      <c r="S659" s="27"/>
      <c r="T659" s="27"/>
      <c r="U659" s="27"/>
      <c r="V659" s="27"/>
      <c r="W659" s="27"/>
    </row>
    <row r="660" spans="1:23" ht="15" customHeight="1" x14ac:dyDescent="0.2">
      <c r="A660" s="37"/>
      <c r="B660" s="37"/>
      <c r="C660" s="37"/>
      <c r="D660" s="37"/>
      <c r="E660" s="37"/>
      <c r="F660" s="37"/>
      <c r="G660" s="37"/>
      <c r="H660" s="37"/>
      <c r="I660" s="37"/>
      <c r="J660" s="37"/>
      <c r="K660" s="37"/>
      <c r="L660" s="37"/>
      <c r="M660" s="37"/>
      <c r="N660" s="37"/>
      <c r="O660" s="37"/>
      <c r="P660" s="37"/>
      <c r="Q660" s="27"/>
      <c r="R660" s="27"/>
      <c r="S660" s="27"/>
      <c r="T660" s="27"/>
      <c r="U660" s="27"/>
      <c r="V660" s="27"/>
      <c r="W660" s="27"/>
    </row>
    <row r="661" spans="1:23" ht="15" customHeight="1" x14ac:dyDescent="0.2">
      <c r="A661" s="37"/>
      <c r="B661" s="37"/>
      <c r="C661" s="37"/>
      <c r="D661" s="37"/>
      <c r="E661" s="37"/>
      <c r="F661" s="37"/>
      <c r="G661" s="37"/>
      <c r="H661" s="37"/>
      <c r="I661" s="37"/>
      <c r="J661" s="37"/>
      <c r="K661" s="37"/>
      <c r="L661" s="37"/>
      <c r="M661" s="37"/>
      <c r="N661" s="37"/>
      <c r="O661" s="37"/>
      <c r="P661" s="37"/>
      <c r="Q661" s="27"/>
      <c r="R661" s="27"/>
      <c r="S661" s="27"/>
      <c r="T661" s="27"/>
      <c r="U661" s="27"/>
      <c r="V661" s="27"/>
      <c r="W661" s="27"/>
    </row>
    <row r="662" spans="1:23" ht="15" customHeight="1" x14ac:dyDescent="0.2">
      <c r="A662" s="37"/>
      <c r="B662" s="37"/>
      <c r="C662" s="37"/>
      <c r="D662" s="37"/>
      <c r="E662" s="37"/>
      <c r="F662" s="37"/>
      <c r="G662" s="37"/>
      <c r="H662" s="37"/>
      <c r="I662" s="37"/>
      <c r="J662" s="37"/>
      <c r="K662" s="37"/>
      <c r="L662" s="37"/>
      <c r="M662" s="37"/>
      <c r="N662" s="37"/>
      <c r="O662" s="37"/>
      <c r="P662" s="37"/>
      <c r="Q662" s="27"/>
      <c r="R662" s="27"/>
      <c r="S662" s="27"/>
      <c r="T662" s="27"/>
      <c r="U662" s="27"/>
      <c r="V662" s="27"/>
      <c r="W662" s="27"/>
    </row>
    <row r="663" spans="1:23" ht="15" customHeight="1" x14ac:dyDescent="0.2">
      <c r="A663" s="37"/>
      <c r="B663" s="37"/>
      <c r="C663" s="37"/>
      <c r="D663" s="37"/>
      <c r="E663" s="37"/>
      <c r="F663" s="37"/>
      <c r="G663" s="37"/>
      <c r="H663" s="37"/>
      <c r="I663" s="37"/>
      <c r="J663" s="37"/>
      <c r="K663" s="37"/>
      <c r="L663" s="37"/>
      <c r="M663" s="37"/>
      <c r="N663" s="37"/>
      <c r="O663" s="37"/>
      <c r="P663" s="37"/>
      <c r="Q663" s="27"/>
      <c r="R663" s="27"/>
      <c r="S663" s="27"/>
      <c r="T663" s="27"/>
      <c r="U663" s="27"/>
      <c r="V663" s="27"/>
      <c r="W663" s="27"/>
    </row>
    <row r="664" spans="1:23" ht="15" customHeight="1" x14ac:dyDescent="0.2">
      <c r="A664" s="37"/>
      <c r="B664" s="37"/>
      <c r="C664" s="37"/>
      <c r="D664" s="37"/>
      <c r="E664" s="37"/>
      <c r="F664" s="37"/>
      <c r="G664" s="37"/>
      <c r="H664" s="37"/>
      <c r="I664" s="37"/>
      <c r="J664" s="37"/>
      <c r="K664" s="37"/>
      <c r="L664" s="37"/>
      <c r="M664" s="37"/>
      <c r="N664" s="37"/>
      <c r="O664" s="37"/>
      <c r="P664" s="37"/>
      <c r="Q664" s="27"/>
      <c r="R664" s="27"/>
      <c r="S664" s="27"/>
      <c r="T664" s="27"/>
      <c r="U664" s="27"/>
      <c r="V664" s="27"/>
      <c r="W664" s="27"/>
    </row>
    <row r="665" spans="1:23" ht="15" customHeight="1" x14ac:dyDescent="0.2">
      <c r="A665" s="37"/>
      <c r="B665" s="37"/>
      <c r="C665" s="37"/>
      <c r="D665" s="37"/>
      <c r="E665" s="37"/>
      <c r="F665" s="37"/>
      <c r="G665" s="37"/>
      <c r="H665" s="37"/>
      <c r="I665" s="37"/>
      <c r="J665" s="37"/>
      <c r="K665" s="37"/>
      <c r="L665" s="37"/>
      <c r="M665" s="37"/>
      <c r="N665" s="37"/>
      <c r="O665" s="37"/>
      <c r="P665" s="37"/>
      <c r="Q665" s="27"/>
      <c r="R665" s="27"/>
      <c r="S665" s="27"/>
      <c r="T665" s="27"/>
      <c r="U665" s="27"/>
      <c r="V665" s="27"/>
      <c r="W665" s="27"/>
    </row>
    <row r="666" spans="1:23" ht="15" customHeight="1" x14ac:dyDescent="0.2">
      <c r="A666" s="37"/>
      <c r="B666" s="37"/>
      <c r="C666" s="37"/>
      <c r="D666" s="37"/>
      <c r="E666" s="37"/>
      <c r="F666" s="37"/>
      <c r="G666" s="37"/>
      <c r="H666" s="37"/>
      <c r="I666" s="37"/>
      <c r="J666" s="37"/>
      <c r="K666" s="37"/>
      <c r="L666" s="37"/>
      <c r="M666" s="37"/>
      <c r="N666" s="37"/>
      <c r="O666" s="37"/>
      <c r="P666" s="37"/>
      <c r="Q666" s="27"/>
      <c r="R666" s="27"/>
      <c r="S666" s="27"/>
      <c r="T666" s="27"/>
      <c r="U666" s="27"/>
      <c r="V666" s="27"/>
      <c r="W666" s="27"/>
    </row>
    <row r="667" spans="1:23" ht="15" customHeight="1" x14ac:dyDescent="0.2">
      <c r="A667" s="37"/>
      <c r="B667" s="37"/>
      <c r="C667" s="37"/>
      <c r="D667" s="37"/>
      <c r="E667" s="37"/>
      <c r="F667" s="37"/>
      <c r="G667" s="37"/>
      <c r="H667" s="37"/>
      <c r="I667" s="37"/>
      <c r="J667" s="37"/>
      <c r="K667" s="37"/>
      <c r="L667" s="37"/>
      <c r="M667" s="37"/>
      <c r="N667" s="37"/>
      <c r="O667" s="37"/>
      <c r="P667" s="37"/>
      <c r="Q667" s="27"/>
      <c r="R667" s="27"/>
      <c r="S667" s="27"/>
      <c r="T667" s="27"/>
      <c r="U667" s="27"/>
      <c r="V667" s="27"/>
      <c r="W667" s="27"/>
    </row>
    <row r="668" spans="1:23" ht="15" customHeight="1" x14ac:dyDescent="0.2">
      <c r="A668" s="37"/>
      <c r="B668" s="37"/>
      <c r="C668" s="37"/>
      <c r="D668" s="37"/>
      <c r="E668" s="37"/>
      <c r="F668" s="37"/>
      <c r="G668" s="37"/>
      <c r="H668" s="37"/>
      <c r="I668" s="37"/>
      <c r="J668" s="37"/>
      <c r="K668" s="37"/>
      <c r="L668" s="37"/>
      <c r="M668" s="37"/>
      <c r="N668" s="37"/>
      <c r="O668" s="37"/>
      <c r="P668" s="37"/>
      <c r="Q668" s="27"/>
      <c r="R668" s="27"/>
      <c r="S668" s="27"/>
      <c r="T668" s="27"/>
      <c r="U668" s="27"/>
      <c r="V668" s="27"/>
      <c r="W668" s="27"/>
    </row>
    <row r="669" spans="1:23" ht="15" customHeight="1" x14ac:dyDescent="0.2">
      <c r="A669" s="37"/>
      <c r="B669" s="37"/>
      <c r="C669" s="37"/>
      <c r="D669" s="37"/>
      <c r="E669" s="37"/>
      <c r="F669" s="37"/>
      <c r="G669" s="37"/>
      <c r="H669" s="37"/>
      <c r="I669" s="37"/>
      <c r="J669" s="37"/>
      <c r="K669" s="37"/>
      <c r="L669" s="37"/>
      <c r="M669" s="37"/>
      <c r="N669" s="37"/>
      <c r="O669" s="37"/>
      <c r="P669" s="37"/>
      <c r="Q669" s="27"/>
      <c r="R669" s="27"/>
      <c r="S669" s="27"/>
      <c r="T669" s="27"/>
      <c r="U669" s="27"/>
      <c r="V669" s="27"/>
      <c r="W669" s="27"/>
    </row>
    <row r="670" spans="1:23" ht="15" customHeight="1" x14ac:dyDescent="0.2">
      <c r="A670" s="37"/>
      <c r="B670" s="37"/>
      <c r="C670" s="37"/>
      <c r="D670" s="37"/>
      <c r="E670" s="37"/>
      <c r="F670" s="37"/>
      <c r="G670" s="37"/>
      <c r="H670" s="37"/>
      <c r="I670" s="37"/>
      <c r="J670" s="37"/>
      <c r="K670" s="37"/>
      <c r="L670" s="37"/>
      <c r="M670" s="37"/>
      <c r="N670" s="37"/>
      <c r="O670" s="37"/>
      <c r="P670" s="37"/>
      <c r="Q670" s="27"/>
      <c r="R670" s="27"/>
      <c r="S670" s="27"/>
      <c r="T670" s="27"/>
      <c r="U670" s="27"/>
      <c r="V670" s="27"/>
      <c r="W670" s="27"/>
    </row>
    <row r="671" spans="1:23" ht="15" customHeight="1" x14ac:dyDescent="0.2">
      <c r="A671" s="37"/>
      <c r="B671" s="37"/>
      <c r="C671" s="37"/>
      <c r="D671" s="37"/>
      <c r="E671" s="37"/>
      <c r="F671" s="37"/>
      <c r="G671" s="37"/>
      <c r="H671" s="37"/>
      <c r="I671" s="37"/>
      <c r="J671" s="37"/>
      <c r="K671" s="37"/>
      <c r="L671" s="37"/>
      <c r="M671" s="37"/>
      <c r="N671" s="37"/>
      <c r="O671" s="37"/>
      <c r="P671" s="37"/>
      <c r="Q671" s="27"/>
      <c r="R671" s="27"/>
      <c r="S671" s="27"/>
      <c r="T671" s="27"/>
      <c r="U671" s="27"/>
      <c r="V671" s="27"/>
      <c r="W671" s="27"/>
    </row>
    <row r="672" spans="1:23" ht="15" customHeight="1" x14ac:dyDescent="0.2">
      <c r="A672" s="37"/>
      <c r="B672" s="37"/>
      <c r="C672" s="37"/>
      <c r="D672" s="37"/>
      <c r="E672" s="37"/>
      <c r="F672" s="37"/>
      <c r="G672" s="37"/>
      <c r="H672" s="37"/>
      <c r="I672" s="37"/>
      <c r="J672" s="37"/>
      <c r="K672" s="37"/>
      <c r="L672" s="37"/>
      <c r="M672" s="37"/>
      <c r="N672" s="37"/>
      <c r="O672" s="37"/>
      <c r="P672" s="37"/>
      <c r="Q672" s="27"/>
      <c r="R672" s="27"/>
      <c r="S672" s="27"/>
      <c r="T672" s="27"/>
      <c r="U672" s="27"/>
      <c r="V672" s="27"/>
      <c r="W672" s="27"/>
    </row>
    <row r="673" spans="1:23" ht="15" customHeight="1" x14ac:dyDescent="0.2">
      <c r="A673" s="37"/>
      <c r="B673" s="37"/>
      <c r="C673" s="37"/>
      <c r="D673" s="37"/>
      <c r="E673" s="37"/>
      <c r="F673" s="37"/>
      <c r="G673" s="37"/>
      <c r="H673" s="37"/>
      <c r="I673" s="37"/>
      <c r="J673" s="37"/>
      <c r="K673" s="37"/>
      <c r="L673" s="37"/>
      <c r="M673" s="37"/>
      <c r="N673" s="37"/>
      <c r="O673" s="37"/>
      <c r="P673" s="37"/>
      <c r="Q673" s="27"/>
      <c r="R673" s="27"/>
      <c r="S673" s="27"/>
      <c r="T673" s="27"/>
      <c r="U673" s="27"/>
      <c r="V673" s="27"/>
      <c r="W673" s="27"/>
    </row>
    <row r="674" spans="1:23" ht="15" customHeight="1" x14ac:dyDescent="0.2">
      <c r="A674" s="37"/>
      <c r="B674" s="37"/>
      <c r="C674" s="37"/>
      <c r="D674" s="37"/>
      <c r="E674" s="37"/>
      <c r="F674" s="37"/>
      <c r="G674" s="37"/>
      <c r="H674" s="37"/>
      <c r="I674" s="37"/>
      <c r="J674" s="37"/>
      <c r="K674" s="37"/>
      <c r="L674" s="37"/>
      <c r="M674" s="37"/>
      <c r="N674" s="37"/>
      <c r="O674" s="37"/>
      <c r="P674" s="37"/>
      <c r="Q674" s="27"/>
      <c r="R674" s="27"/>
      <c r="S674" s="27"/>
      <c r="T674" s="27"/>
      <c r="U674" s="27"/>
      <c r="V674" s="27"/>
      <c r="W674" s="27"/>
    </row>
    <row r="675" spans="1:23" ht="15" customHeight="1" x14ac:dyDescent="0.2">
      <c r="A675" s="37"/>
      <c r="B675" s="37"/>
      <c r="C675" s="37"/>
      <c r="D675" s="37"/>
      <c r="E675" s="37"/>
      <c r="F675" s="37"/>
      <c r="G675" s="37"/>
      <c r="H675" s="37"/>
      <c r="I675" s="37"/>
      <c r="J675" s="37"/>
      <c r="K675" s="37"/>
      <c r="L675" s="37"/>
      <c r="M675" s="37"/>
      <c r="N675" s="37"/>
      <c r="O675" s="37"/>
      <c r="P675" s="37"/>
      <c r="Q675" s="27"/>
      <c r="R675" s="27"/>
      <c r="S675" s="27"/>
      <c r="T675" s="27"/>
      <c r="U675" s="27"/>
      <c r="V675" s="27"/>
      <c r="W675" s="27"/>
    </row>
    <row r="676" spans="1:23" ht="15" customHeight="1" x14ac:dyDescent="0.2">
      <c r="A676" s="37"/>
      <c r="B676" s="37"/>
      <c r="C676" s="37"/>
      <c r="D676" s="37"/>
      <c r="E676" s="37"/>
      <c r="F676" s="37"/>
      <c r="G676" s="37"/>
      <c r="H676" s="37"/>
      <c r="I676" s="37"/>
      <c r="J676" s="37"/>
      <c r="K676" s="37"/>
      <c r="L676" s="37"/>
      <c r="M676" s="37"/>
      <c r="N676" s="37"/>
      <c r="O676" s="37"/>
      <c r="P676" s="37"/>
      <c r="Q676" s="27"/>
      <c r="R676" s="27"/>
      <c r="S676" s="27"/>
      <c r="T676" s="27"/>
      <c r="U676" s="27"/>
      <c r="V676" s="27"/>
      <c r="W676" s="27"/>
    </row>
    <row r="677" spans="1:23" ht="15" customHeight="1" x14ac:dyDescent="0.2">
      <c r="A677" s="37"/>
      <c r="B677" s="37"/>
      <c r="C677" s="37"/>
      <c r="D677" s="37"/>
      <c r="E677" s="37"/>
      <c r="F677" s="37"/>
      <c r="G677" s="37"/>
      <c r="H677" s="37"/>
      <c r="I677" s="37"/>
      <c r="J677" s="37"/>
      <c r="K677" s="37"/>
      <c r="L677" s="37"/>
      <c r="M677" s="37"/>
      <c r="N677" s="37"/>
      <c r="O677" s="37"/>
      <c r="P677" s="37"/>
      <c r="Q677" s="27"/>
      <c r="R677" s="27"/>
      <c r="S677" s="27"/>
      <c r="T677" s="27"/>
      <c r="U677" s="27"/>
      <c r="V677" s="27"/>
      <c r="W677" s="27"/>
    </row>
    <row r="678" spans="1:23" ht="15" customHeight="1" x14ac:dyDescent="0.2">
      <c r="A678" s="37"/>
      <c r="B678" s="37"/>
      <c r="C678" s="37"/>
      <c r="D678" s="37"/>
      <c r="E678" s="37"/>
      <c r="F678" s="37"/>
      <c r="G678" s="37"/>
      <c r="H678" s="37"/>
      <c r="I678" s="37"/>
      <c r="J678" s="37"/>
      <c r="K678" s="37"/>
      <c r="L678" s="37"/>
      <c r="M678" s="37"/>
      <c r="N678" s="37"/>
      <c r="O678" s="37"/>
      <c r="P678" s="37"/>
      <c r="Q678" s="27"/>
      <c r="R678" s="27"/>
      <c r="S678" s="27"/>
      <c r="T678" s="27"/>
      <c r="U678" s="27"/>
      <c r="V678" s="27"/>
      <c r="W678" s="27"/>
    </row>
    <row r="679" spans="1:23" ht="15" customHeight="1" x14ac:dyDescent="0.2">
      <c r="A679" s="37"/>
      <c r="B679" s="37"/>
      <c r="C679" s="37"/>
      <c r="D679" s="37"/>
      <c r="E679" s="37"/>
      <c r="F679" s="37"/>
      <c r="G679" s="37"/>
      <c r="H679" s="37"/>
      <c r="I679" s="37"/>
      <c r="J679" s="37"/>
      <c r="K679" s="37"/>
      <c r="L679" s="37"/>
      <c r="M679" s="37"/>
      <c r="N679" s="37"/>
      <c r="O679" s="37"/>
      <c r="P679" s="37"/>
      <c r="Q679" s="27"/>
      <c r="R679" s="27"/>
      <c r="S679" s="27"/>
      <c r="T679" s="27"/>
      <c r="U679" s="27"/>
      <c r="V679" s="27"/>
      <c r="W679" s="27"/>
    </row>
    <row r="680" spans="1:23" ht="15" customHeight="1" x14ac:dyDescent="0.2">
      <c r="A680" s="37"/>
      <c r="B680" s="37"/>
      <c r="C680" s="37"/>
      <c r="D680" s="37"/>
      <c r="E680" s="37"/>
      <c r="F680" s="37"/>
      <c r="G680" s="37"/>
      <c r="H680" s="37"/>
      <c r="I680" s="37"/>
      <c r="J680" s="37"/>
      <c r="K680" s="37"/>
      <c r="L680" s="37"/>
      <c r="M680" s="37"/>
      <c r="N680" s="37"/>
      <c r="O680" s="37"/>
      <c r="P680" s="37"/>
      <c r="Q680" s="27"/>
      <c r="R680" s="27"/>
      <c r="S680" s="27"/>
      <c r="T680" s="27"/>
      <c r="U680" s="27"/>
      <c r="V680" s="27"/>
      <c r="W680" s="27"/>
    </row>
    <row r="681" spans="1:23" ht="15" customHeight="1" x14ac:dyDescent="0.2">
      <c r="A681" s="37"/>
      <c r="B681" s="37"/>
      <c r="C681" s="37"/>
      <c r="D681" s="37"/>
      <c r="E681" s="37"/>
      <c r="F681" s="37"/>
      <c r="G681" s="37"/>
      <c r="H681" s="37"/>
      <c r="I681" s="37"/>
      <c r="J681" s="37"/>
      <c r="K681" s="37"/>
      <c r="L681" s="37"/>
      <c r="M681" s="37"/>
      <c r="N681" s="37"/>
      <c r="O681" s="37"/>
      <c r="P681" s="37"/>
      <c r="Q681" s="27"/>
      <c r="R681" s="27"/>
      <c r="S681" s="27"/>
      <c r="T681" s="27"/>
      <c r="U681" s="27"/>
      <c r="V681" s="27"/>
      <c r="W681" s="27"/>
    </row>
    <row r="682" spans="1:23" ht="15" customHeight="1" x14ac:dyDescent="0.2">
      <c r="A682" s="37"/>
      <c r="B682" s="37"/>
      <c r="C682" s="37"/>
      <c r="D682" s="37"/>
      <c r="E682" s="37"/>
      <c r="F682" s="37"/>
      <c r="G682" s="37"/>
      <c r="H682" s="37"/>
      <c r="I682" s="37"/>
      <c r="J682" s="37"/>
      <c r="K682" s="37"/>
      <c r="L682" s="37"/>
      <c r="M682" s="37"/>
      <c r="N682" s="37"/>
      <c r="O682" s="37"/>
      <c r="P682" s="37"/>
      <c r="Q682" s="27"/>
      <c r="R682" s="27"/>
      <c r="S682" s="27"/>
      <c r="T682" s="27"/>
      <c r="U682" s="27"/>
      <c r="V682" s="27"/>
      <c r="W682" s="27"/>
    </row>
    <row r="683" spans="1:23" ht="15" customHeight="1" x14ac:dyDescent="0.2">
      <c r="A683" s="37"/>
      <c r="B683" s="37"/>
      <c r="C683" s="37"/>
      <c r="D683" s="37"/>
      <c r="E683" s="37"/>
      <c r="F683" s="37"/>
      <c r="G683" s="37"/>
      <c r="H683" s="37"/>
      <c r="I683" s="37"/>
      <c r="J683" s="37"/>
      <c r="K683" s="37"/>
      <c r="L683" s="37"/>
      <c r="M683" s="37"/>
      <c r="N683" s="37"/>
      <c r="O683" s="37"/>
      <c r="P683" s="37"/>
      <c r="Q683" s="27"/>
      <c r="R683" s="27"/>
      <c r="S683" s="27"/>
      <c r="T683" s="27"/>
      <c r="U683" s="27"/>
      <c r="V683" s="27"/>
      <c r="W683" s="27"/>
    </row>
    <row r="684" spans="1:23" ht="15" customHeight="1" x14ac:dyDescent="0.2">
      <c r="A684" s="37"/>
      <c r="B684" s="37"/>
      <c r="C684" s="37"/>
      <c r="D684" s="37"/>
      <c r="E684" s="37"/>
      <c r="F684" s="37"/>
      <c r="G684" s="37"/>
      <c r="H684" s="37"/>
      <c r="I684" s="37"/>
      <c r="J684" s="37"/>
      <c r="K684" s="37"/>
      <c r="L684" s="37"/>
      <c r="M684" s="37"/>
      <c r="N684" s="37"/>
      <c r="O684" s="37"/>
      <c r="P684" s="37"/>
      <c r="Q684" s="27"/>
      <c r="R684" s="27"/>
      <c r="S684" s="27"/>
      <c r="T684" s="27"/>
      <c r="U684" s="27"/>
      <c r="V684" s="27"/>
      <c r="W684" s="27"/>
    </row>
    <row r="685" spans="1:23" ht="15" customHeight="1" x14ac:dyDescent="0.2">
      <c r="A685" s="37"/>
      <c r="B685" s="37"/>
      <c r="C685" s="37"/>
      <c r="D685" s="37"/>
      <c r="E685" s="37"/>
      <c r="F685" s="37"/>
      <c r="G685" s="37"/>
      <c r="H685" s="37"/>
      <c r="I685" s="37"/>
      <c r="J685" s="37"/>
      <c r="K685" s="37"/>
      <c r="L685" s="37"/>
      <c r="M685" s="37"/>
      <c r="N685" s="37"/>
      <c r="O685" s="37"/>
      <c r="P685" s="37"/>
      <c r="Q685" s="27"/>
      <c r="R685" s="27"/>
      <c r="S685" s="27"/>
      <c r="T685" s="27"/>
      <c r="U685" s="27"/>
      <c r="V685" s="27"/>
      <c r="W685" s="27"/>
    </row>
    <row r="686" spans="1:23" ht="15" customHeight="1" x14ac:dyDescent="0.2">
      <c r="A686" s="37"/>
      <c r="B686" s="37"/>
      <c r="C686" s="37"/>
      <c r="D686" s="37"/>
      <c r="E686" s="37"/>
      <c r="F686" s="37"/>
      <c r="G686" s="37"/>
      <c r="H686" s="37"/>
      <c r="I686" s="37"/>
      <c r="J686" s="37"/>
      <c r="K686" s="37"/>
      <c r="L686" s="37"/>
      <c r="M686" s="37"/>
      <c r="N686" s="37"/>
      <c r="O686" s="37"/>
      <c r="P686" s="37"/>
      <c r="Q686" s="27"/>
      <c r="R686" s="27"/>
      <c r="S686" s="27"/>
      <c r="T686" s="27"/>
      <c r="U686" s="27"/>
      <c r="V686" s="27"/>
      <c r="W686" s="27"/>
    </row>
    <row r="687" spans="1:23" ht="15" customHeight="1" x14ac:dyDescent="0.2">
      <c r="A687" s="37"/>
      <c r="B687" s="37"/>
      <c r="C687" s="37"/>
      <c r="D687" s="37"/>
      <c r="E687" s="37"/>
      <c r="F687" s="37"/>
      <c r="G687" s="37"/>
      <c r="H687" s="37"/>
      <c r="I687" s="37"/>
      <c r="J687" s="37"/>
      <c r="K687" s="37"/>
      <c r="L687" s="37"/>
      <c r="M687" s="37"/>
      <c r="N687" s="37"/>
      <c r="O687" s="37"/>
      <c r="P687" s="37"/>
      <c r="Q687" s="27"/>
      <c r="R687" s="27"/>
      <c r="S687" s="27"/>
      <c r="T687" s="27"/>
      <c r="U687" s="27"/>
      <c r="V687" s="27"/>
      <c r="W687" s="27"/>
    </row>
    <row r="688" spans="1:23" ht="15" customHeight="1" x14ac:dyDescent="0.2">
      <c r="A688" s="37"/>
      <c r="B688" s="37"/>
      <c r="C688" s="37"/>
      <c r="D688" s="37"/>
      <c r="E688" s="37"/>
      <c r="F688" s="37"/>
      <c r="G688" s="37"/>
      <c r="H688" s="37"/>
      <c r="I688" s="37"/>
      <c r="J688" s="37"/>
      <c r="K688" s="37"/>
      <c r="L688" s="37"/>
      <c r="M688" s="37"/>
      <c r="N688" s="37"/>
      <c r="O688" s="37"/>
      <c r="P688" s="37"/>
      <c r="Q688" s="27"/>
      <c r="R688" s="27"/>
      <c r="S688" s="27"/>
      <c r="T688" s="27"/>
      <c r="U688" s="27"/>
      <c r="V688" s="27"/>
      <c r="W688" s="27"/>
    </row>
    <row r="689" spans="1:23" ht="15" customHeight="1" x14ac:dyDescent="0.2">
      <c r="A689" s="37"/>
      <c r="B689" s="37"/>
      <c r="C689" s="37"/>
      <c r="D689" s="37"/>
      <c r="E689" s="37"/>
      <c r="F689" s="37"/>
      <c r="G689" s="37"/>
      <c r="H689" s="37"/>
      <c r="I689" s="37"/>
      <c r="J689" s="37"/>
      <c r="K689" s="37"/>
      <c r="L689" s="37"/>
      <c r="M689" s="37"/>
      <c r="N689" s="37"/>
      <c r="O689" s="37"/>
      <c r="P689" s="37"/>
      <c r="Q689" s="27"/>
      <c r="R689" s="27"/>
      <c r="S689" s="27"/>
      <c r="T689" s="27"/>
      <c r="U689" s="27"/>
      <c r="V689" s="27"/>
      <c r="W689" s="27"/>
    </row>
    <row r="690" spans="1:23" ht="15" customHeight="1" x14ac:dyDescent="0.2">
      <c r="A690" s="37"/>
      <c r="B690" s="37"/>
      <c r="C690" s="37"/>
      <c r="D690" s="37"/>
      <c r="E690" s="37"/>
      <c r="F690" s="37"/>
      <c r="G690" s="37"/>
      <c r="H690" s="37"/>
      <c r="I690" s="37"/>
      <c r="J690" s="37"/>
      <c r="K690" s="37"/>
      <c r="L690" s="37"/>
      <c r="M690" s="37"/>
      <c r="N690" s="37"/>
      <c r="O690" s="37"/>
      <c r="P690" s="37"/>
      <c r="Q690" s="27"/>
      <c r="R690" s="27"/>
      <c r="S690" s="27"/>
      <c r="T690" s="27"/>
      <c r="U690" s="27"/>
      <c r="V690" s="27"/>
      <c r="W690" s="27"/>
    </row>
    <row r="691" spans="1:23" ht="15" customHeight="1" x14ac:dyDescent="0.2">
      <c r="A691" s="37"/>
      <c r="B691" s="37"/>
      <c r="C691" s="37"/>
      <c r="D691" s="37"/>
      <c r="E691" s="37"/>
      <c r="F691" s="37"/>
      <c r="G691" s="37"/>
      <c r="H691" s="37"/>
      <c r="I691" s="37"/>
      <c r="J691" s="37"/>
      <c r="K691" s="37"/>
      <c r="L691" s="37"/>
      <c r="M691" s="37"/>
      <c r="N691" s="37"/>
      <c r="O691" s="37"/>
      <c r="P691" s="37"/>
      <c r="Q691" s="27"/>
      <c r="R691" s="27"/>
      <c r="S691" s="27"/>
      <c r="T691" s="27"/>
      <c r="U691" s="27"/>
      <c r="V691" s="27"/>
      <c r="W691" s="27"/>
    </row>
    <row r="692" spans="1:23" ht="15" customHeight="1" x14ac:dyDescent="0.2">
      <c r="A692" s="37"/>
      <c r="B692" s="37"/>
      <c r="C692" s="37"/>
      <c r="D692" s="37"/>
      <c r="E692" s="37"/>
      <c r="F692" s="37"/>
      <c r="G692" s="37"/>
      <c r="H692" s="37"/>
      <c r="I692" s="37"/>
      <c r="J692" s="37"/>
      <c r="K692" s="37"/>
      <c r="L692" s="37"/>
      <c r="M692" s="37"/>
      <c r="N692" s="37"/>
      <c r="O692" s="37"/>
      <c r="P692" s="37"/>
      <c r="Q692" s="27"/>
      <c r="R692" s="27"/>
      <c r="S692" s="27"/>
      <c r="T692" s="27"/>
      <c r="U692" s="27"/>
      <c r="V692" s="27"/>
      <c r="W692" s="27"/>
    </row>
    <row r="693" spans="1:23" ht="15" customHeight="1" x14ac:dyDescent="0.2">
      <c r="A693" s="37"/>
      <c r="B693" s="37"/>
      <c r="C693" s="37"/>
      <c r="D693" s="37"/>
      <c r="E693" s="37"/>
      <c r="F693" s="37"/>
      <c r="G693" s="37"/>
      <c r="H693" s="37"/>
      <c r="I693" s="37"/>
      <c r="J693" s="37"/>
      <c r="K693" s="37"/>
      <c r="L693" s="37"/>
      <c r="M693" s="37"/>
      <c r="N693" s="37"/>
      <c r="O693" s="37"/>
      <c r="P693" s="37"/>
      <c r="Q693" s="27"/>
      <c r="R693" s="27"/>
      <c r="S693" s="27"/>
      <c r="T693" s="27"/>
      <c r="U693" s="27"/>
      <c r="V693" s="27"/>
      <c r="W693" s="27"/>
    </row>
    <row r="694" spans="1:23" ht="15" customHeight="1" x14ac:dyDescent="0.2">
      <c r="A694" s="37"/>
      <c r="B694" s="37"/>
      <c r="C694" s="37"/>
      <c r="D694" s="37"/>
      <c r="E694" s="37"/>
      <c r="F694" s="37"/>
      <c r="G694" s="37"/>
      <c r="H694" s="37"/>
      <c r="I694" s="37"/>
      <c r="J694" s="37"/>
      <c r="K694" s="37"/>
      <c r="L694" s="37"/>
      <c r="M694" s="37"/>
      <c r="N694" s="37"/>
      <c r="O694" s="37"/>
      <c r="P694" s="37"/>
      <c r="Q694" s="27"/>
      <c r="R694" s="27"/>
      <c r="S694" s="27"/>
      <c r="T694" s="27"/>
      <c r="U694" s="27"/>
      <c r="V694" s="27"/>
      <c r="W694" s="27"/>
    </row>
    <row r="695" spans="1:23" ht="15" customHeight="1" x14ac:dyDescent="0.2">
      <c r="A695" s="37"/>
      <c r="B695" s="37"/>
      <c r="C695" s="37"/>
      <c r="D695" s="37"/>
      <c r="E695" s="37"/>
      <c r="F695" s="37"/>
      <c r="G695" s="37"/>
      <c r="H695" s="37"/>
      <c r="I695" s="37"/>
      <c r="J695" s="37"/>
      <c r="K695" s="37"/>
      <c r="L695" s="37"/>
      <c r="M695" s="37"/>
      <c r="N695" s="37"/>
      <c r="O695" s="37"/>
      <c r="P695" s="37"/>
      <c r="Q695" s="27"/>
      <c r="R695" s="27"/>
      <c r="S695" s="27"/>
      <c r="T695" s="27"/>
      <c r="U695" s="27"/>
      <c r="V695" s="27"/>
      <c r="W695" s="27"/>
    </row>
    <row r="696" spans="1:23" ht="15" customHeight="1" x14ac:dyDescent="0.2">
      <c r="A696" s="37"/>
      <c r="B696" s="37"/>
      <c r="C696" s="37"/>
      <c r="D696" s="37"/>
      <c r="E696" s="37"/>
      <c r="F696" s="37"/>
      <c r="G696" s="37"/>
      <c r="H696" s="37"/>
      <c r="I696" s="37"/>
      <c r="J696" s="37"/>
      <c r="K696" s="37"/>
      <c r="L696" s="37"/>
      <c r="M696" s="37"/>
      <c r="N696" s="37"/>
      <c r="O696" s="37"/>
      <c r="P696" s="37"/>
      <c r="Q696" s="27"/>
      <c r="R696" s="27"/>
      <c r="S696" s="27"/>
      <c r="T696" s="27"/>
      <c r="U696" s="27"/>
      <c r="V696" s="27"/>
      <c r="W696" s="27"/>
    </row>
    <row r="697" spans="1:23" ht="15" customHeight="1" x14ac:dyDescent="0.2">
      <c r="A697" s="37"/>
      <c r="B697" s="37"/>
      <c r="C697" s="37"/>
      <c r="D697" s="37"/>
      <c r="E697" s="37"/>
      <c r="F697" s="37"/>
      <c r="G697" s="37"/>
      <c r="H697" s="37"/>
      <c r="I697" s="37"/>
      <c r="J697" s="37"/>
      <c r="K697" s="37"/>
      <c r="L697" s="37"/>
      <c r="M697" s="37"/>
      <c r="N697" s="37"/>
      <c r="O697" s="37"/>
      <c r="P697" s="37"/>
      <c r="Q697" s="27"/>
      <c r="R697" s="27"/>
      <c r="S697" s="27"/>
      <c r="T697" s="27"/>
      <c r="U697" s="27"/>
      <c r="V697" s="27"/>
      <c r="W697" s="27"/>
    </row>
    <row r="698" spans="1:23" ht="15" customHeight="1" x14ac:dyDescent="0.2">
      <c r="A698" s="37"/>
      <c r="B698" s="37"/>
      <c r="C698" s="37"/>
      <c r="D698" s="37"/>
      <c r="E698" s="37"/>
      <c r="F698" s="37"/>
      <c r="G698" s="37"/>
      <c r="H698" s="37"/>
      <c r="I698" s="37"/>
      <c r="J698" s="37"/>
      <c r="K698" s="37"/>
      <c r="L698" s="37"/>
      <c r="M698" s="37"/>
      <c r="N698" s="37"/>
      <c r="O698" s="37"/>
      <c r="P698" s="37"/>
      <c r="Q698" s="27"/>
      <c r="R698" s="27"/>
      <c r="S698" s="27"/>
      <c r="T698" s="27"/>
      <c r="U698" s="27"/>
      <c r="V698" s="27"/>
      <c r="W698" s="27"/>
    </row>
    <row r="699" spans="1:23" ht="15" customHeight="1" x14ac:dyDescent="0.2">
      <c r="A699" s="37"/>
      <c r="B699" s="37"/>
      <c r="C699" s="37"/>
      <c r="D699" s="37"/>
      <c r="E699" s="37"/>
      <c r="F699" s="37"/>
      <c r="G699" s="37"/>
      <c r="H699" s="37"/>
      <c r="I699" s="37"/>
      <c r="J699" s="37"/>
      <c r="K699" s="37"/>
      <c r="L699" s="37"/>
      <c r="M699" s="37"/>
      <c r="N699" s="37"/>
      <c r="O699" s="37"/>
      <c r="P699" s="37"/>
      <c r="Q699" s="27"/>
      <c r="R699" s="27"/>
      <c r="S699" s="27"/>
      <c r="T699" s="27"/>
      <c r="U699" s="27"/>
      <c r="V699" s="27"/>
      <c r="W699" s="27"/>
    </row>
    <row r="700" spans="1:23" ht="15" customHeight="1" x14ac:dyDescent="0.2">
      <c r="A700" s="37"/>
      <c r="B700" s="37"/>
      <c r="C700" s="37"/>
      <c r="D700" s="37"/>
      <c r="E700" s="37"/>
      <c r="F700" s="37"/>
      <c r="G700" s="37"/>
      <c r="H700" s="37"/>
      <c r="I700" s="37"/>
      <c r="J700" s="37"/>
      <c r="K700" s="37"/>
      <c r="L700" s="37"/>
      <c r="M700" s="37"/>
      <c r="N700" s="37"/>
      <c r="O700" s="37"/>
      <c r="P700" s="37"/>
      <c r="Q700" s="27"/>
      <c r="R700" s="27"/>
      <c r="S700" s="27"/>
      <c r="T700" s="27"/>
      <c r="U700" s="27"/>
      <c r="V700" s="27"/>
      <c r="W700" s="27"/>
    </row>
    <row r="701" spans="1:23" ht="15" customHeight="1" x14ac:dyDescent="0.2">
      <c r="A701" s="37"/>
      <c r="B701" s="37"/>
      <c r="C701" s="37"/>
      <c r="D701" s="37"/>
      <c r="E701" s="37"/>
      <c r="F701" s="37"/>
      <c r="G701" s="37"/>
      <c r="H701" s="37"/>
      <c r="I701" s="37"/>
      <c r="J701" s="37"/>
      <c r="K701" s="37"/>
      <c r="L701" s="37"/>
      <c r="M701" s="37"/>
      <c r="N701" s="37"/>
      <c r="O701" s="37"/>
      <c r="P701" s="37"/>
      <c r="Q701" s="27"/>
      <c r="R701" s="27"/>
      <c r="S701" s="27"/>
      <c r="T701" s="27"/>
      <c r="U701" s="27"/>
      <c r="V701" s="27"/>
      <c r="W701" s="27"/>
    </row>
    <row r="702" spans="1:23" ht="15" customHeight="1" x14ac:dyDescent="0.2">
      <c r="A702" s="37"/>
      <c r="B702" s="37"/>
      <c r="C702" s="37"/>
      <c r="D702" s="37"/>
      <c r="E702" s="37"/>
      <c r="F702" s="37"/>
      <c r="G702" s="37"/>
      <c r="H702" s="37"/>
      <c r="I702" s="37"/>
      <c r="J702" s="37"/>
      <c r="K702" s="37"/>
      <c r="L702" s="37"/>
      <c r="M702" s="37"/>
      <c r="N702" s="37"/>
      <c r="O702" s="37"/>
      <c r="P702" s="37"/>
      <c r="Q702" s="27"/>
      <c r="R702" s="27"/>
      <c r="S702" s="27"/>
      <c r="T702" s="27"/>
      <c r="U702" s="27"/>
      <c r="V702" s="27"/>
      <c r="W702" s="27"/>
    </row>
    <row r="703" spans="1:23" ht="15" customHeight="1" x14ac:dyDescent="0.2">
      <c r="A703" s="37"/>
      <c r="B703" s="37"/>
      <c r="C703" s="37"/>
      <c r="D703" s="37"/>
      <c r="E703" s="37"/>
      <c r="F703" s="37"/>
      <c r="G703" s="37"/>
      <c r="H703" s="37"/>
      <c r="I703" s="37"/>
      <c r="J703" s="37"/>
      <c r="K703" s="37"/>
      <c r="L703" s="37"/>
      <c r="M703" s="37"/>
      <c r="N703" s="37"/>
      <c r="O703" s="37"/>
      <c r="P703" s="37"/>
      <c r="Q703" s="27"/>
      <c r="R703" s="27"/>
      <c r="S703" s="27"/>
      <c r="T703" s="27"/>
      <c r="U703" s="27"/>
      <c r="V703" s="27"/>
      <c r="W703" s="27"/>
    </row>
    <row r="704" spans="1:23" ht="15" customHeight="1" x14ac:dyDescent="0.2">
      <c r="A704" s="37"/>
      <c r="B704" s="37"/>
      <c r="C704" s="37"/>
      <c r="D704" s="37"/>
      <c r="E704" s="37"/>
      <c r="F704" s="37"/>
      <c r="G704" s="37"/>
      <c r="H704" s="37"/>
      <c r="I704" s="37"/>
      <c r="J704" s="37"/>
      <c r="K704" s="37"/>
      <c r="L704" s="37"/>
      <c r="M704" s="37"/>
      <c r="N704" s="37"/>
      <c r="O704" s="37"/>
      <c r="P704" s="37"/>
      <c r="Q704" s="27"/>
      <c r="R704" s="27"/>
      <c r="S704" s="27"/>
      <c r="T704" s="27"/>
      <c r="U704" s="27"/>
      <c r="V704" s="27"/>
      <c r="W704" s="27"/>
    </row>
    <row r="705" spans="1:23" ht="15" customHeight="1" x14ac:dyDescent="0.2">
      <c r="A705" s="37"/>
      <c r="B705" s="37"/>
      <c r="C705" s="37"/>
      <c r="D705" s="37"/>
      <c r="E705" s="37"/>
      <c r="F705" s="37"/>
      <c r="G705" s="37"/>
      <c r="H705" s="37"/>
      <c r="I705" s="37"/>
      <c r="J705" s="37"/>
      <c r="K705" s="37"/>
      <c r="L705" s="37"/>
      <c r="M705" s="37"/>
      <c r="N705" s="37"/>
      <c r="O705" s="37"/>
      <c r="P705" s="37"/>
      <c r="Q705" s="27"/>
      <c r="R705" s="27"/>
      <c r="S705" s="27"/>
      <c r="T705" s="27"/>
      <c r="U705" s="27"/>
      <c r="V705" s="27"/>
      <c r="W705" s="27"/>
    </row>
    <row r="706" spans="1:23" ht="15" customHeight="1" x14ac:dyDescent="0.2">
      <c r="A706" s="37"/>
      <c r="B706" s="37"/>
      <c r="C706" s="37"/>
      <c r="D706" s="37"/>
      <c r="E706" s="37"/>
      <c r="F706" s="37"/>
      <c r="G706" s="37"/>
      <c r="H706" s="37"/>
      <c r="I706" s="37"/>
      <c r="J706" s="37"/>
      <c r="K706" s="37"/>
      <c r="L706" s="37"/>
      <c r="M706" s="37"/>
      <c r="N706" s="37"/>
      <c r="O706" s="37"/>
      <c r="P706" s="37"/>
      <c r="Q706" s="27"/>
      <c r="R706" s="27"/>
      <c r="S706" s="27"/>
      <c r="T706" s="27"/>
      <c r="U706" s="27"/>
      <c r="V706" s="27"/>
      <c r="W706" s="27"/>
    </row>
    <row r="707" spans="1:23" ht="15" customHeight="1" x14ac:dyDescent="0.2">
      <c r="A707" s="37"/>
      <c r="B707" s="37"/>
      <c r="C707" s="37"/>
      <c r="D707" s="37"/>
      <c r="E707" s="37"/>
      <c r="F707" s="37"/>
      <c r="G707" s="37"/>
      <c r="H707" s="37"/>
      <c r="I707" s="37"/>
      <c r="J707" s="37"/>
      <c r="K707" s="37"/>
      <c r="L707" s="37"/>
      <c r="M707" s="37"/>
      <c r="N707" s="37"/>
      <c r="O707" s="37"/>
      <c r="P707" s="37"/>
      <c r="Q707" s="27"/>
      <c r="R707" s="27"/>
      <c r="S707" s="27"/>
      <c r="T707" s="27"/>
      <c r="U707" s="27"/>
      <c r="V707" s="27"/>
      <c r="W707" s="27"/>
    </row>
    <row r="708" spans="1:23" ht="15" customHeight="1" x14ac:dyDescent="0.2">
      <c r="A708" s="37"/>
      <c r="B708" s="37"/>
      <c r="C708" s="37"/>
      <c r="D708" s="37"/>
      <c r="E708" s="37"/>
      <c r="F708" s="37"/>
      <c r="G708" s="37"/>
      <c r="H708" s="37"/>
      <c r="I708" s="37"/>
      <c r="J708" s="37"/>
      <c r="K708" s="37"/>
      <c r="L708" s="37"/>
      <c r="M708" s="37"/>
      <c r="N708" s="37"/>
      <c r="O708" s="37"/>
      <c r="P708" s="37"/>
      <c r="Q708" s="27"/>
      <c r="R708" s="27"/>
      <c r="S708" s="27"/>
      <c r="T708" s="27"/>
      <c r="U708" s="27"/>
      <c r="V708" s="27"/>
      <c r="W708" s="27"/>
    </row>
    <row r="709" spans="1:23" ht="15" customHeight="1" x14ac:dyDescent="0.2">
      <c r="A709" s="37"/>
      <c r="B709" s="37"/>
      <c r="C709" s="37"/>
      <c r="D709" s="37"/>
      <c r="E709" s="37"/>
      <c r="F709" s="37"/>
      <c r="G709" s="37"/>
      <c r="H709" s="37"/>
      <c r="I709" s="37"/>
      <c r="J709" s="37"/>
      <c r="K709" s="37"/>
      <c r="L709" s="37"/>
      <c r="M709" s="37"/>
      <c r="N709" s="37"/>
      <c r="O709" s="37"/>
      <c r="P709" s="37"/>
      <c r="Q709" s="27"/>
      <c r="R709" s="27"/>
      <c r="S709" s="27"/>
      <c r="T709" s="27"/>
      <c r="U709" s="27"/>
      <c r="V709" s="27"/>
      <c r="W709" s="27"/>
    </row>
    <row r="710" spans="1:23" ht="15" customHeight="1" x14ac:dyDescent="0.2">
      <c r="A710" s="37"/>
      <c r="B710" s="37"/>
      <c r="C710" s="37"/>
      <c r="D710" s="37"/>
      <c r="E710" s="37"/>
      <c r="F710" s="37"/>
      <c r="G710" s="37"/>
      <c r="H710" s="37"/>
      <c r="I710" s="37"/>
      <c r="J710" s="37"/>
      <c r="K710" s="37"/>
      <c r="L710" s="37"/>
      <c r="M710" s="37"/>
      <c r="N710" s="37"/>
      <c r="O710" s="37"/>
      <c r="P710" s="37"/>
      <c r="Q710" s="27"/>
      <c r="R710" s="27"/>
      <c r="S710" s="27"/>
      <c r="T710" s="27"/>
      <c r="U710" s="27"/>
      <c r="V710" s="27"/>
      <c r="W710" s="27"/>
    </row>
    <row r="711" spans="1:23" ht="15" customHeight="1" x14ac:dyDescent="0.2">
      <c r="A711" s="37"/>
      <c r="B711" s="37"/>
      <c r="C711" s="37"/>
      <c r="D711" s="37"/>
      <c r="E711" s="37"/>
      <c r="F711" s="37"/>
      <c r="G711" s="37"/>
      <c r="H711" s="37"/>
      <c r="I711" s="37"/>
      <c r="J711" s="37"/>
      <c r="K711" s="37"/>
      <c r="L711" s="37"/>
      <c r="M711" s="37"/>
      <c r="N711" s="37"/>
      <c r="O711" s="37"/>
      <c r="P711" s="37"/>
      <c r="Q711" s="27"/>
      <c r="R711" s="27"/>
      <c r="S711" s="27"/>
      <c r="T711" s="27"/>
      <c r="U711" s="27"/>
      <c r="V711" s="27"/>
      <c r="W711" s="27"/>
    </row>
    <row r="712" spans="1:23" ht="15" customHeight="1" x14ac:dyDescent="0.2">
      <c r="A712" s="37"/>
      <c r="B712" s="37"/>
      <c r="C712" s="37"/>
      <c r="D712" s="37"/>
      <c r="E712" s="37"/>
      <c r="F712" s="37"/>
      <c r="G712" s="37"/>
      <c r="H712" s="37"/>
      <c r="I712" s="37"/>
      <c r="J712" s="37"/>
      <c r="K712" s="37"/>
      <c r="L712" s="37"/>
      <c r="M712" s="37"/>
      <c r="N712" s="37"/>
      <c r="O712" s="37"/>
      <c r="P712" s="37"/>
      <c r="Q712" s="27"/>
      <c r="R712" s="27"/>
      <c r="S712" s="27"/>
      <c r="T712" s="27"/>
      <c r="U712" s="27"/>
      <c r="V712" s="27"/>
      <c r="W712" s="27"/>
    </row>
    <row r="713" spans="1:23" ht="15" customHeight="1" x14ac:dyDescent="0.2">
      <c r="A713" s="37"/>
      <c r="B713" s="37"/>
      <c r="C713" s="37"/>
      <c r="D713" s="37"/>
      <c r="E713" s="37"/>
      <c r="F713" s="37"/>
      <c r="G713" s="37"/>
      <c r="H713" s="37"/>
      <c r="I713" s="37"/>
      <c r="J713" s="37"/>
      <c r="K713" s="37"/>
      <c r="L713" s="37"/>
      <c r="M713" s="37"/>
      <c r="N713" s="37"/>
      <c r="O713" s="37"/>
      <c r="P713" s="37"/>
      <c r="Q713" s="27"/>
      <c r="R713" s="27"/>
      <c r="S713" s="27"/>
      <c r="T713" s="27"/>
      <c r="U713" s="27"/>
      <c r="V713" s="27"/>
      <c r="W713" s="27"/>
    </row>
    <row r="714" spans="1:23" ht="15" customHeight="1" x14ac:dyDescent="0.2">
      <c r="A714" s="37"/>
      <c r="B714" s="37"/>
      <c r="C714" s="37"/>
      <c r="D714" s="37"/>
      <c r="E714" s="37"/>
      <c r="F714" s="37"/>
      <c r="G714" s="37"/>
      <c r="H714" s="37"/>
      <c r="I714" s="37"/>
      <c r="J714" s="37"/>
      <c r="K714" s="37"/>
      <c r="L714" s="37"/>
      <c r="M714" s="37"/>
      <c r="N714" s="37"/>
      <c r="O714" s="37"/>
      <c r="P714" s="37"/>
      <c r="Q714" s="27"/>
      <c r="R714" s="27"/>
      <c r="S714" s="27"/>
      <c r="T714" s="27"/>
      <c r="U714" s="27"/>
      <c r="V714" s="27"/>
      <c r="W714" s="27"/>
    </row>
    <row r="715" spans="1:23" ht="15" customHeight="1" x14ac:dyDescent="0.2">
      <c r="A715" s="37"/>
      <c r="B715" s="37"/>
      <c r="C715" s="37"/>
      <c r="D715" s="37"/>
      <c r="E715" s="37"/>
      <c r="F715" s="37"/>
      <c r="G715" s="37"/>
      <c r="H715" s="37"/>
      <c r="I715" s="37"/>
      <c r="J715" s="37"/>
      <c r="K715" s="37"/>
      <c r="L715" s="37"/>
      <c r="M715" s="37"/>
      <c r="N715" s="37"/>
      <c r="O715" s="37"/>
      <c r="P715" s="37"/>
      <c r="Q715" s="27"/>
      <c r="R715" s="27"/>
      <c r="S715" s="27"/>
      <c r="T715" s="27"/>
      <c r="U715" s="27"/>
      <c r="V715" s="27"/>
      <c r="W715" s="27"/>
    </row>
    <row r="716" spans="1:23" ht="15" customHeight="1" x14ac:dyDescent="0.2">
      <c r="A716" s="37"/>
      <c r="B716" s="37"/>
      <c r="C716" s="37"/>
      <c r="D716" s="37"/>
      <c r="E716" s="37"/>
      <c r="F716" s="37"/>
      <c r="G716" s="37"/>
      <c r="H716" s="37"/>
      <c r="I716" s="37"/>
      <c r="J716" s="37"/>
      <c r="K716" s="37"/>
      <c r="L716" s="37"/>
      <c r="M716" s="37"/>
      <c r="N716" s="37"/>
      <c r="O716" s="37"/>
      <c r="P716" s="37"/>
      <c r="Q716" s="27"/>
      <c r="R716" s="27"/>
      <c r="S716" s="27"/>
      <c r="T716" s="27"/>
      <c r="U716" s="27"/>
      <c r="V716" s="27"/>
      <c r="W716" s="27"/>
    </row>
    <row r="717" spans="1:23" ht="15" customHeight="1" x14ac:dyDescent="0.2">
      <c r="A717" s="37"/>
      <c r="B717" s="37"/>
      <c r="C717" s="37"/>
      <c r="D717" s="37"/>
      <c r="E717" s="37"/>
      <c r="F717" s="37"/>
      <c r="G717" s="37"/>
      <c r="H717" s="37"/>
      <c r="I717" s="37"/>
      <c r="J717" s="37"/>
      <c r="K717" s="37"/>
      <c r="L717" s="37"/>
      <c r="M717" s="37"/>
      <c r="N717" s="37"/>
      <c r="O717" s="37"/>
      <c r="P717" s="37"/>
      <c r="Q717" s="27"/>
      <c r="R717" s="27"/>
      <c r="S717" s="27"/>
      <c r="T717" s="27"/>
      <c r="U717" s="27"/>
      <c r="V717" s="27"/>
      <c r="W717" s="27"/>
    </row>
    <row r="718" spans="1:23" ht="15" customHeight="1" x14ac:dyDescent="0.2">
      <c r="A718" s="37"/>
      <c r="B718" s="37"/>
      <c r="C718" s="37"/>
      <c r="D718" s="37"/>
      <c r="E718" s="37"/>
      <c r="F718" s="37"/>
      <c r="G718" s="37"/>
      <c r="H718" s="37"/>
      <c r="I718" s="37"/>
      <c r="J718" s="37"/>
      <c r="K718" s="37"/>
      <c r="L718" s="37"/>
      <c r="M718" s="37"/>
      <c r="N718" s="37"/>
      <c r="O718" s="37"/>
      <c r="P718" s="37"/>
      <c r="Q718" s="27"/>
      <c r="R718" s="27"/>
      <c r="S718" s="27"/>
      <c r="T718" s="27"/>
      <c r="U718" s="27"/>
      <c r="V718" s="27"/>
      <c r="W718" s="27"/>
    </row>
    <row r="719" spans="1:23" ht="15" customHeight="1" x14ac:dyDescent="0.2">
      <c r="A719" s="37"/>
      <c r="B719" s="37"/>
      <c r="C719" s="37"/>
      <c r="D719" s="37"/>
      <c r="E719" s="37"/>
      <c r="F719" s="37"/>
      <c r="G719" s="37"/>
      <c r="H719" s="37"/>
      <c r="I719" s="37"/>
      <c r="J719" s="37"/>
      <c r="K719" s="37"/>
      <c r="L719" s="37"/>
      <c r="M719" s="37"/>
      <c r="N719" s="37"/>
      <c r="O719" s="37"/>
      <c r="P719" s="37"/>
      <c r="Q719" s="27"/>
      <c r="R719" s="27"/>
      <c r="S719" s="27"/>
      <c r="T719" s="27"/>
      <c r="U719" s="27"/>
      <c r="V719" s="27"/>
      <c r="W719" s="27"/>
    </row>
    <row r="720" spans="1:23" ht="15" customHeight="1" x14ac:dyDescent="0.2">
      <c r="A720" s="37"/>
      <c r="B720" s="37"/>
      <c r="C720" s="37"/>
      <c r="D720" s="37"/>
      <c r="E720" s="37"/>
      <c r="F720" s="37"/>
      <c r="G720" s="37"/>
      <c r="H720" s="37"/>
      <c r="I720" s="37"/>
      <c r="J720" s="37"/>
      <c r="K720" s="37"/>
      <c r="L720" s="37"/>
      <c r="M720" s="37"/>
      <c r="N720" s="37"/>
      <c r="O720" s="37"/>
      <c r="P720" s="37"/>
      <c r="Q720" s="27"/>
      <c r="R720" s="27"/>
      <c r="S720" s="27"/>
      <c r="T720" s="27"/>
      <c r="U720" s="27"/>
      <c r="V720" s="27"/>
      <c r="W720" s="27"/>
    </row>
    <row r="721" spans="1:23" ht="15" customHeight="1" x14ac:dyDescent="0.2">
      <c r="A721" s="37"/>
      <c r="B721" s="37"/>
      <c r="C721" s="37"/>
      <c r="D721" s="37"/>
      <c r="E721" s="37"/>
      <c r="F721" s="37"/>
      <c r="G721" s="37"/>
      <c r="H721" s="37"/>
      <c r="I721" s="37"/>
      <c r="J721" s="37"/>
      <c r="K721" s="37"/>
      <c r="L721" s="37"/>
      <c r="M721" s="37"/>
      <c r="N721" s="37"/>
      <c r="O721" s="37"/>
      <c r="P721" s="37"/>
      <c r="Q721" s="27"/>
      <c r="R721" s="27"/>
      <c r="S721" s="27"/>
      <c r="T721" s="27"/>
      <c r="U721" s="27"/>
      <c r="V721" s="27"/>
      <c r="W721" s="27"/>
    </row>
    <row r="722" spans="1:23" ht="15" customHeight="1" x14ac:dyDescent="0.2">
      <c r="A722" s="37"/>
      <c r="B722" s="37"/>
      <c r="C722" s="37"/>
      <c r="D722" s="37"/>
      <c r="E722" s="37"/>
      <c r="F722" s="37"/>
      <c r="G722" s="37"/>
      <c r="H722" s="37"/>
      <c r="I722" s="37"/>
      <c r="J722" s="37"/>
      <c r="K722" s="37"/>
      <c r="L722" s="37"/>
      <c r="M722" s="37"/>
      <c r="N722" s="37"/>
      <c r="O722" s="37"/>
      <c r="P722" s="37"/>
      <c r="Q722" s="27"/>
      <c r="R722" s="27"/>
      <c r="S722" s="27"/>
      <c r="T722" s="27"/>
      <c r="U722" s="27"/>
      <c r="V722" s="27"/>
      <c r="W722" s="27"/>
    </row>
    <row r="723" spans="1:23" ht="15" customHeight="1" x14ac:dyDescent="0.2">
      <c r="A723" s="37"/>
      <c r="B723" s="37"/>
      <c r="C723" s="37"/>
      <c r="D723" s="37"/>
      <c r="E723" s="37"/>
      <c r="F723" s="37"/>
      <c r="G723" s="37"/>
      <c r="H723" s="37"/>
      <c r="I723" s="37"/>
      <c r="J723" s="37"/>
      <c r="K723" s="37"/>
      <c r="L723" s="37"/>
      <c r="M723" s="37"/>
      <c r="N723" s="37"/>
      <c r="O723" s="37"/>
      <c r="P723" s="37"/>
      <c r="Q723" s="27"/>
      <c r="R723" s="27"/>
      <c r="S723" s="27"/>
      <c r="T723" s="27"/>
      <c r="U723" s="27"/>
      <c r="V723" s="27"/>
      <c r="W723" s="27"/>
    </row>
    <row r="724" spans="1:23" ht="15" customHeight="1" x14ac:dyDescent="0.2">
      <c r="A724" s="37"/>
      <c r="B724" s="37"/>
      <c r="C724" s="37"/>
      <c r="D724" s="37"/>
      <c r="E724" s="37"/>
      <c r="F724" s="37"/>
      <c r="G724" s="37"/>
      <c r="H724" s="37"/>
      <c r="I724" s="37"/>
      <c r="J724" s="37"/>
      <c r="K724" s="37"/>
      <c r="L724" s="37"/>
      <c r="M724" s="37"/>
      <c r="N724" s="37"/>
      <c r="O724" s="37"/>
      <c r="P724" s="37"/>
      <c r="Q724" s="27"/>
      <c r="R724" s="27"/>
      <c r="S724" s="27"/>
      <c r="T724" s="27"/>
      <c r="U724" s="27"/>
      <c r="V724" s="27"/>
      <c r="W724" s="27"/>
    </row>
    <row r="725" spans="1:23" ht="15" customHeight="1" x14ac:dyDescent="0.2">
      <c r="A725" s="37"/>
      <c r="B725" s="37"/>
      <c r="C725" s="37"/>
      <c r="D725" s="37"/>
      <c r="E725" s="37"/>
      <c r="F725" s="37"/>
      <c r="G725" s="37"/>
      <c r="H725" s="37"/>
      <c r="I725" s="37"/>
      <c r="J725" s="37"/>
      <c r="K725" s="37"/>
      <c r="L725" s="37"/>
      <c r="M725" s="37"/>
      <c r="N725" s="37"/>
      <c r="O725" s="37"/>
      <c r="P725" s="37"/>
      <c r="Q725" s="27"/>
      <c r="R725" s="27"/>
      <c r="S725" s="27"/>
      <c r="T725" s="27"/>
      <c r="U725" s="27"/>
      <c r="V725" s="27"/>
      <c r="W725" s="27"/>
    </row>
    <row r="726" spans="1:23" ht="15" customHeight="1" x14ac:dyDescent="0.2">
      <c r="A726" s="37"/>
      <c r="B726" s="37"/>
      <c r="C726" s="37"/>
      <c r="D726" s="37"/>
      <c r="E726" s="37"/>
      <c r="F726" s="37"/>
      <c r="G726" s="37"/>
      <c r="H726" s="37"/>
      <c r="I726" s="37"/>
      <c r="J726" s="37"/>
      <c r="K726" s="37"/>
      <c r="L726" s="37"/>
      <c r="M726" s="37"/>
      <c r="N726" s="37"/>
      <c r="O726" s="37"/>
      <c r="P726" s="37"/>
      <c r="Q726" s="27"/>
      <c r="R726" s="27"/>
      <c r="S726" s="27"/>
      <c r="T726" s="27"/>
      <c r="U726" s="27"/>
      <c r="V726" s="27"/>
      <c r="W726" s="27"/>
    </row>
    <row r="727" spans="1:23" ht="15" customHeight="1" x14ac:dyDescent="0.2">
      <c r="A727" s="37"/>
      <c r="B727" s="37"/>
      <c r="C727" s="37"/>
      <c r="D727" s="37"/>
      <c r="E727" s="37"/>
      <c r="F727" s="37"/>
      <c r="G727" s="37"/>
      <c r="H727" s="37"/>
      <c r="I727" s="37"/>
      <c r="J727" s="37"/>
      <c r="K727" s="37"/>
      <c r="L727" s="37"/>
      <c r="M727" s="37"/>
      <c r="N727" s="37"/>
      <c r="O727" s="37"/>
      <c r="P727" s="37"/>
      <c r="Q727" s="27"/>
      <c r="R727" s="27"/>
      <c r="S727" s="27"/>
      <c r="T727" s="27"/>
      <c r="U727" s="27"/>
      <c r="V727" s="27"/>
      <c r="W727" s="27"/>
    </row>
    <row r="728" spans="1:23" ht="15" customHeight="1" x14ac:dyDescent="0.2">
      <c r="A728" s="37"/>
      <c r="B728" s="37"/>
      <c r="C728" s="37"/>
      <c r="D728" s="37"/>
      <c r="E728" s="37"/>
      <c r="F728" s="37"/>
      <c r="G728" s="37"/>
      <c r="H728" s="37"/>
      <c r="I728" s="37"/>
      <c r="J728" s="37"/>
      <c r="K728" s="37"/>
      <c r="L728" s="37"/>
      <c r="M728" s="37"/>
      <c r="N728" s="37"/>
      <c r="O728" s="37"/>
      <c r="P728" s="37"/>
      <c r="Q728" s="27"/>
      <c r="R728" s="27"/>
      <c r="S728" s="27"/>
      <c r="T728" s="27"/>
      <c r="U728" s="27"/>
      <c r="V728" s="27"/>
      <c r="W728" s="27"/>
    </row>
    <row r="729" spans="1:23" ht="15" customHeight="1" x14ac:dyDescent="0.2">
      <c r="A729" s="37"/>
      <c r="B729" s="37"/>
      <c r="C729" s="37"/>
      <c r="D729" s="37"/>
      <c r="E729" s="37"/>
      <c r="F729" s="37"/>
      <c r="G729" s="37"/>
      <c r="H729" s="37"/>
      <c r="I729" s="37"/>
      <c r="J729" s="37"/>
      <c r="K729" s="37"/>
      <c r="L729" s="37"/>
      <c r="M729" s="37"/>
      <c r="N729" s="37"/>
      <c r="O729" s="37"/>
      <c r="P729" s="37"/>
      <c r="Q729" s="27"/>
      <c r="R729" s="27"/>
      <c r="S729" s="27"/>
      <c r="T729" s="27"/>
      <c r="U729" s="27"/>
      <c r="V729" s="27"/>
      <c r="W729" s="27"/>
    </row>
    <row r="730" spans="1:23" ht="15" customHeight="1" x14ac:dyDescent="0.2">
      <c r="A730" s="37"/>
      <c r="B730" s="37"/>
      <c r="C730" s="37"/>
      <c r="D730" s="37"/>
      <c r="E730" s="37"/>
      <c r="F730" s="37"/>
      <c r="G730" s="37"/>
      <c r="H730" s="37"/>
      <c r="I730" s="37"/>
      <c r="J730" s="37"/>
      <c r="K730" s="37"/>
      <c r="L730" s="37"/>
      <c r="M730" s="37"/>
      <c r="N730" s="37"/>
      <c r="O730" s="37"/>
      <c r="P730" s="37"/>
      <c r="Q730" s="27"/>
      <c r="R730" s="27"/>
      <c r="S730" s="27"/>
      <c r="T730" s="27"/>
      <c r="U730" s="27"/>
      <c r="V730" s="27"/>
      <c r="W730" s="27"/>
    </row>
    <row r="731" spans="1:23" ht="15" customHeight="1" x14ac:dyDescent="0.2">
      <c r="A731" s="37"/>
      <c r="B731" s="37"/>
      <c r="C731" s="37"/>
      <c r="D731" s="37"/>
      <c r="E731" s="37"/>
      <c r="F731" s="37"/>
      <c r="G731" s="37"/>
      <c r="H731" s="37"/>
      <c r="I731" s="37"/>
      <c r="J731" s="37"/>
      <c r="K731" s="37"/>
      <c r="L731" s="37"/>
      <c r="M731" s="37"/>
      <c r="N731" s="37"/>
      <c r="O731" s="37"/>
      <c r="P731" s="37"/>
      <c r="Q731" s="27"/>
      <c r="R731" s="27"/>
      <c r="S731" s="27"/>
      <c r="T731" s="27"/>
      <c r="U731" s="27"/>
      <c r="V731" s="27"/>
      <c r="W731" s="27"/>
    </row>
    <row r="732" spans="1:23" ht="15" customHeight="1" x14ac:dyDescent="0.2">
      <c r="A732" s="37"/>
      <c r="B732" s="37"/>
      <c r="C732" s="37"/>
      <c r="D732" s="37"/>
      <c r="E732" s="37"/>
      <c r="F732" s="37"/>
      <c r="G732" s="37"/>
      <c r="H732" s="37"/>
      <c r="I732" s="37"/>
      <c r="J732" s="37"/>
      <c r="K732" s="37"/>
      <c r="L732" s="37"/>
      <c r="M732" s="37"/>
      <c r="N732" s="37"/>
      <c r="O732" s="37"/>
      <c r="P732" s="37"/>
      <c r="Q732" s="27"/>
      <c r="R732" s="27"/>
      <c r="S732" s="27"/>
      <c r="T732" s="27"/>
      <c r="U732" s="27"/>
      <c r="V732" s="27"/>
      <c r="W732" s="27"/>
    </row>
    <row r="733" spans="1:23" ht="15" customHeight="1" x14ac:dyDescent="0.2">
      <c r="A733" s="37"/>
      <c r="B733" s="37"/>
      <c r="C733" s="37"/>
      <c r="D733" s="37"/>
      <c r="E733" s="37"/>
      <c r="F733" s="37"/>
      <c r="G733" s="37"/>
      <c r="H733" s="37"/>
      <c r="I733" s="37"/>
      <c r="J733" s="37"/>
      <c r="K733" s="37"/>
      <c r="L733" s="37"/>
      <c r="M733" s="37"/>
      <c r="N733" s="37"/>
      <c r="O733" s="37"/>
      <c r="P733" s="37"/>
      <c r="Q733" s="27"/>
      <c r="R733" s="27"/>
      <c r="S733" s="27"/>
      <c r="T733" s="27"/>
      <c r="U733" s="27"/>
      <c r="V733" s="27"/>
      <c r="W733" s="27"/>
    </row>
    <row r="734" spans="1:23" ht="15" customHeight="1" x14ac:dyDescent="0.2">
      <c r="A734" s="37"/>
      <c r="B734" s="37"/>
      <c r="C734" s="37"/>
      <c r="D734" s="37"/>
      <c r="E734" s="37"/>
      <c r="F734" s="37"/>
      <c r="G734" s="37"/>
      <c r="H734" s="37"/>
      <c r="I734" s="37"/>
      <c r="J734" s="37"/>
      <c r="K734" s="37"/>
      <c r="L734" s="37"/>
      <c r="M734" s="37"/>
      <c r="N734" s="37"/>
      <c r="O734" s="37"/>
      <c r="P734" s="37"/>
      <c r="Q734" s="27"/>
      <c r="R734" s="27"/>
      <c r="S734" s="27"/>
      <c r="T734" s="27"/>
      <c r="U734" s="27"/>
      <c r="V734" s="27"/>
      <c r="W734" s="27"/>
    </row>
    <row r="735" spans="1:23" ht="15" customHeight="1" x14ac:dyDescent="0.2">
      <c r="A735" s="37"/>
      <c r="B735" s="37"/>
      <c r="C735" s="37"/>
      <c r="D735" s="37"/>
      <c r="E735" s="37"/>
      <c r="F735" s="37"/>
      <c r="G735" s="37"/>
      <c r="H735" s="37"/>
      <c r="I735" s="37"/>
      <c r="J735" s="37"/>
      <c r="K735" s="37"/>
      <c r="L735" s="37"/>
      <c r="M735" s="37"/>
      <c r="N735" s="37"/>
      <c r="O735" s="37"/>
      <c r="P735" s="37"/>
      <c r="Q735" s="27"/>
      <c r="R735" s="27"/>
      <c r="S735" s="27"/>
      <c r="T735" s="27"/>
      <c r="U735" s="27"/>
      <c r="V735" s="27"/>
      <c r="W735" s="27"/>
    </row>
    <row r="736" spans="1:23" ht="15" customHeight="1" x14ac:dyDescent="0.2">
      <c r="A736" s="37"/>
      <c r="B736" s="37"/>
      <c r="C736" s="37"/>
      <c r="D736" s="37"/>
      <c r="E736" s="37"/>
      <c r="F736" s="37"/>
      <c r="G736" s="37"/>
      <c r="H736" s="37"/>
      <c r="I736" s="37"/>
      <c r="J736" s="37"/>
      <c r="K736" s="37"/>
      <c r="L736" s="37"/>
      <c r="M736" s="37"/>
      <c r="N736" s="37"/>
      <c r="O736" s="37"/>
      <c r="P736" s="37"/>
      <c r="Q736" s="27"/>
      <c r="R736" s="27"/>
      <c r="S736" s="27"/>
      <c r="T736" s="27"/>
      <c r="U736" s="27"/>
      <c r="V736" s="27"/>
      <c r="W736" s="27"/>
    </row>
    <row r="737" spans="1:23" ht="15" customHeight="1" x14ac:dyDescent="0.2">
      <c r="A737" s="37"/>
      <c r="B737" s="37"/>
      <c r="C737" s="37"/>
      <c r="D737" s="37"/>
      <c r="E737" s="37"/>
      <c r="F737" s="37"/>
      <c r="G737" s="37"/>
      <c r="H737" s="37"/>
      <c r="I737" s="37"/>
      <c r="J737" s="37"/>
      <c r="K737" s="37"/>
      <c r="L737" s="37"/>
      <c r="M737" s="37"/>
      <c r="N737" s="37"/>
      <c r="O737" s="37"/>
      <c r="P737" s="37"/>
      <c r="Q737" s="27"/>
      <c r="R737" s="27"/>
      <c r="S737" s="27"/>
      <c r="T737" s="27"/>
      <c r="U737" s="27"/>
      <c r="V737" s="27"/>
      <c r="W737" s="27"/>
    </row>
    <row r="738" spans="1:23" ht="15" customHeight="1" x14ac:dyDescent="0.2">
      <c r="A738" s="37"/>
      <c r="B738" s="37"/>
      <c r="C738" s="37"/>
      <c r="D738" s="37"/>
      <c r="E738" s="37"/>
      <c r="F738" s="37"/>
      <c r="G738" s="37"/>
      <c r="H738" s="37"/>
      <c r="I738" s="37"/>
      <c r="J738" s="37"/>
      <c r="K738" s="37"/>
      <c r="L738" s="37"/>
      <c r="M738" s="37"/>
      <c r="N738" s="37"/>
      <c r="O738" s="37"/>
      <c r="P738" s="37"/>
      <c r="Q738" s="27"/>
      <c r="R738" s="27"/>
      <c r="S738" s="27"/>
      <c r="T738" s="27"/>
      <c r="U738" s="27"/>
      <c r="V738" s="27"/>
      <c r="W738" s="27"/>
    </row>
    <row r="739" spans="1:23" ht="15" customHeight="1" x14ac:dyDescent="0.2">
      <c r="A739" s="37"/>
      <c r="B739" s="37"/>
      <c r="C739" s="37"/>
      <c r="D739" s="37"/>
      <c r="E739" s="37"/>
      <c r="F739" s="37"/>
      <c r="G739" s="37"/>
      <c r="H739" s="37"/>
      <c r="I739" s="37"/>
      <c r="J739" s="37"/>
      <c r="K739" s="37"/>
      <c r="L739" s="37"/>
      <c r="M739" s="37"/>
      <c r="N739" s="37"/>
      <c r="O739" s="37"/>
      <c r="P739" s="37"/>
      <c r="Q739" s="27"/>
      <c r="R739" s="27"/>
      <c r="S739" s="27"/>
      <c r="T739" s="27"/>
      <c r="U739" s="27"/>
      <c r="V739" s="27"/>
      <c r="W739" s="27"/>
    </row>
    <row r="740" spans="1:23" ht="15" customHeight="1" x14ac:dyDescent="0.2">
      <c r="A740" s="37"/>
      <c r="B740" s="37"/>
      <c r="C740" s="37"/>
      <c r="D740" s="37"/>
      <c r="E740" s="37"/>
      <c r="F740" s="37"/>
      <c r="G740" s="37"/>
      <c r="H740" s="37"/>
      <c r="I740" s="37"/>
      <c r="J740" s="37"/>
      <c r="K740" s="37"/>
      <c r="L740" s="37"/>
      <c r="M740" s="37"/>
      <c r="N740" s="37"/>
      <c r="O740" s="37"/>
      <c r="P740" s="37"/>
      <c r="Q740" s="27"/>
      <c r="R740" s="27"/>
      <c r="S740" s="27"/>
      <c r="T740" s="27"/>
      <c r="U740" s="27"/>
      <c r="V740" s="27"/>
      <c r="W740" s="27"/>
    </row>
    <row r="741" spans="1:23" ht="15" customHeight="1" x14ac:dyDescent="0.2">
      <c r="A741" s="37"/>
      <c r="B741" s="37"/>
      <c r="C741" s="37"/>
      <c r="D741" s="37"/>
      <c r="E741" s="37"/>
      <c r="F741" s="37"/>
      <c r="G741" s="37"/>
      <c r="H741" s="37"/>
      <c r="I741" s="37"/>
      <c r="J741" s="37"/>
      <c r="K741" s="37"/>
      <c r="L741" s="37"/>
      <c r="M741" s="37"/>
      <c r="N741" s="37"/>
      <c r="O741" s="37"/>
      <c r="P741" s="37"/>
      <c r="Q741" s="27"/>
      <c r="R741" s="27"/>
      <c r="S741" s="27"/>
      <c r="T741" s="27"/>
      <c r="U741" s="27"/>
      <c r="V741" s="27"/>
      <c r="W741" s="27"/>
    </row>
    <row r="742" spans="1:23" ht="15" customHeight="1" x14ac:dyDescent="0.2">
      <c r="A742" s="37"/>
      <c r="B742" s="37"/>
      <c r="C742" s="37"/>
      <c r="D742" s="37"/>
      <c r="E742" s="37"/>
      <c r="F742" s="37"/>
      <c r="G742" s="37"/>
      <c r="H742" s="37"/>
      <c r="I742" s="37"/>
      <c r="J742" s="37"/>
      <c r="K742" s="37"/>
      <c r="L742" s="37"/>
      <c r="M742" s="37"/>
      <c r="N742" s="37"/>
      <c r="O742" s="37"/>
      <c r="P742" s="37"/>
      <c r="Q742" s="27"/>
      <c r="R742" s="27"/>
      <c r="S742" s="27"/>
      <c r="T742" s="27"/>
      <c r="U742" s="27"/>
      <c r="V742" s="27"/>
      <c r="W742" s="27"/>
    </row>
    <row r="743" spans="1:23" ht="15" customHeight="1" x14ac:dyDescent="0.2">
      <c r="A743" s="37"/>
      <c r="B743" s="37"/>
      <c r="C743" s="37"/>
      <c r="D743" s="37"/>
      <c r="E743" s="37"/>
      <c r="F743" s="37"/>
      <c r="G743" s="37"/>
      <c r="H743" s="37"/>
      <c r="I743" s="37"/>
      <c r="J743" s="37"/>
      <c r="K743" s="37"/>
      <c r="L743" s="37"/>
      <c r="M743" s="37"/>
      <c r="N743" s="37"/>
      <c r="O743" s="37"/>
      <c r="P743" s="37"/>
      <c r="Q743" s="27"/>
      <c r="R743" s="27"/>
      <c r="S743" s="27"/>
      <c r="T743" s="27"/>
      <c r="U743" s="27"/>
      <c r="V743" s="27"/>
      <c r="W743" s="27"/>
    </row>
    <row r="744" spans="1:23" ht="15" customHeight="1" x14ac:dyDescent="0.2">
      <c r="A744" s="37"/>
      <c r="B744" s="37"/>
      <c r="C744" s="37"/>
      <c r="D744" s="37"/>
      <c r="E744" s="37"/>
      <c r="F744" s="37"/>
      <c r="G744" s="37"/>
      <c r="H744" s="37"/>
      <c r="I744" s="37"/>
      <c r="J744" s="37"/>
      <c r="K744" s="37"/>
      <c r="L744" s="37"/>
      <c r="M744" s="37"/>
      <c r="N744" s="37"/>
      <c r="O744" s="37"/>
      <c r="P744" s="37"/>
      <c r="Q744" s="27"/>
      <c r="R744" s="27"/>
      <c r="S744" s="27"/>
      <c r="T744" s="27"/>
      <c r="U744" s="27"/>
      <c r="V744" s="27"/>
      <c r="W744" s="27"/>
    </row>
    <row r="745" spans="1:23" ht="15" customHeight="1" x14ac:dyDescent="0.2">
      <c r="A745" s="37"/>
      <c r="B745" s="37"/>
      <c r="C745" s="37"/>
      <c r="D745" s="37"/>
      <c r="E745" s="37"/>
      <c r="F745" s="37"/>
      <c r="G745" s="37"/>
      <c r="H745" s="37"/>
      <c r="I745" s="37"/>
      <c r="J745" s="37"/>
      <c r="K745" s="37"/>
      <c r="L745" s="37"/>
      <c r="M745" s="37"/>
      <c r="N745" s="37"/>
      <c r="O745" s="37"/>
      <c r="P745" s="37"/>
      <c r="Q745" s="27"/>
      <c r="R745" s="27"/>
      <c r="S745" s="27"/>
      <c r="T745" s="27"/>
      <c r="U745" s="27"/>
      <c r="V745" s="27"/>
      <c r="W745" s="27"/>
    </row>
    <row r="746" spans="1:23" ht="15" customHeight="1" x14ac:dyDescent="0.2">
      <c r="A746" s="37"/>
      <c r="B746" s="37"/>
      <c r="C746" s="37"/>
      <c r="D746" s="37"/>
      <c r="E746" s="37"/>
      <c r="F746" s="37"/>
      <c r="G746" s="37"/>
      <c r="H746" s="37"/>
      <c r="I746" s="37"/>
      <c r="J746" s="37"/>
      <c r="K746" s="37"/>
      <c r="L746" s="37"/>
      <c r="M746" s="37"/>
      <c r="N746" s="37"/>
      <c r="O746" s="37"/>
      <c r="P746" s="37"/>
      <c r="Q746" s="27"/>
      <c r="R746" s="27"/>
      <c r="S746" s="27"/>
      <c r="T746" s="27"/>
      <c r="U746" s="27"/>
      <c r="V746" s="27"/>
      <c r="W746" s="27"/>
    </row>
    <row r="747" spans="1:23" ht="15" customHeight="1" x14ac:dyDescent="0.2">
      <c r="A747" s="37"/>
      <c r="B747" s="37"/>
      <c r="C747" s="37"/>
      <c r="D747" s="37"/>
      <c r="E747" s="37"/>
      <c r="F747" s="37"/>
      <c r="G747" s="37"/>
      <c r="H747" s="37"/>
      <c r="I747" s="37"/>
      <c r="J747" s="37"/>
      <c r="K747" s="37"/>
      <c r="L747" s="37"/>
      <c r="M747" s="37"/>
      <c r="N747" s="37"/>
      <c r="O747" s="37"/>
      <c r="P747" s="37"/>
      <c r="Q747" s="27"/>
      <c r="R747" s="27"/>
      <c r="S747" s="27"/>
      <c r="T747" s="27"/>
      <c r="U747" s="27"/>
      <c r="V747" s="27"/>
      <c r="W747" s="27"/>
    </row>
    <row r="748" spans="1:23" ht="15" customHeight="1" x14ac:dyDescent="0.2">
      <c r="A748" s="37"/>
      <c r="B748" s="37"/>
      <c r="C748" s="37"/>
      <c r="D748" s="37"/>
      <c r="E748" s="37"/>
      <c r="F748" s="37"/>
      <c r="G748" s="37"/>
      <c r="H748" s="37"/>
      <c r="I748" s="37"/>
      <c r="J748" s="37"/>
      <c r="K748" s="37"/>
      <c r="L748" s="37"/>
      <c r="M748" s="37"/>
      <c r="N748" s="37"/>
      <c r="O748" s="37"/>
      <c r="P748" s="37"/>
      <c r="Q748" s="27"/>
      <c r="R748" s="27"/>
      <c r="S748" s="27"/>
      <c r="T748" s="27"/>
      <c r="U748" s="27"/>
      <c r="V748" s="27"/>
      <c r="W748" s="27"/>
    </row>
    <row r="749" spans="1:23" ht="15" customHeight="1" x14ac:dyDescent="0.2">
      <c r="A749" s="37"/>
      <c r="B749" s="37"/>
      <c r="C749" s="37"/>
      <c r="D749" s="37"/>
      <c r="E749" s="37"/>
      <c r="F749" s="37"/>
      <c r="G749" s="37"/>
      <c r="H749" s="37"/>
      <c r="I749" s="37"/>
      <c r="J749" s="37"/>
      <c r="K749" s="37"/>
      <c r="L749" s="37"/>
      <c r="M749" s="37"/>
      <c r="N749" s="37"/>
      <c r="O749" s="37"/>
      <c r="P749" s="37"/>
      <c r="Q749" s="27"/>
      <c r="R749" s="27"/>
      <c r="S749" s="27"/>
      <c r="T749" s="27"/>
      <c r="U749" s="27"/>
      <c r="V749" s="27"/>
      <c r="W749" s="27"/>
    </row>
    <row r="750" spans="1:23" ht="15" customHeight="1" x14ac:dyDescent="0.2">
      <c r="A750" s="37"/>
      <c r="B750" s="37"/>
      <c r="C750" s="37"/>
      <c r="D750" s="37"/>
      <c r="E750" s="37"/>
      <c r="F750" s="37"/>
      <c r="G750" s="37"/>
      <c r="H750" s="37"/>
      <c r="I750" s="37"/>
      <c r="J750" s="37"/>
      <c r="K750" s="37"/>
      <c r="L750" s="37"/>
      <c r="M750" s="37"/>
      <c r="N750" s="37"/>
      <c r="O750" s="37"/>
      <c r="P750" s="37"/>
      <c r="Q750" s="27"/>
      <c r="R750" s="27"/>
      <c r="S750" s="27"/>
      <c r="T750" s="27"/>
      <c r="U750" s="27"/>
      <c r="V750" s="27"/>
      <c r="W750" s="27"/>
    </row>
    <row r="751" spans="1:23" ht="15" customHeight="1" x14ac:dyDescent="0.2">
      <c r="A751" s="37"/>
      <c r="B751" s="37"/>
      <c r="C751" s="37"/>
      <c r="D751" s="37"/>
      <c r="E751" s="37"/>
      <c r="F751" s="37"/>
      <c r="G751" s="37"/>
      <c r="H751" s="37"/>
      <c r="I751" s="37"/>
      <c r="J751" s="37"/>
      <c r="K751" s="37"/>
      <c r="L751" s="37"/>
      <c r="M751" s="37"/>
      <c r="N751" s="37"/>
      <c r="O751" s="37"/>
      <c r="P751" s="37"/>
      <c r="Q751" s="27"/>
      <c r="R751" s="27"/>
      <c r="S751" s="27"/>
      <c r="T751" s="27"/>
      <c r="U751" s="27"/>
      <c r="V751" s="27"/>
      <c r="W751" s="27"/>
    </row>
    <row r="752" spans="1:23" ht="15" customHeight="1" x14ac:dyDescent="0.2">
      <c r="A752" s="37"/>
      <c r="B752" s="37"/>
      <c r="C752" s="37"/>
      <c r="D752" s="37"/>
      <c r="E752" s="37"/>
      <c r="F752" s="37"/>
      <c r="G752" s="37"/>
      <c r="H752" s="37"/>
      <c r="I752" s="37"/>
      <c r="J752" s="37"/>
      <c r="K752" s="37"/>
      <c r="L752" s="37"/>
      <c r="M752" s="37"/>
      <c r="N752" s="37"/>
      <c r="O752" s="37"/>
      <c r="P752" s="37"/>
      <c r="Q752" s="27"/>
      <c r="R752" s="27"/>
      <c r="S752" s="27"/>
      <c r="T752" s="27"/>
      <c r="U752" s="27"/>
      <c r="V752" s="27"/>
      <c r="W752" s="27"/>
    </row>
    <row r="753" spans="1:23" ht="15" customHeight="1" x14ac:dyDescent="0.2">
      <c r="A753" s="37"/>
      <c r="B753" s="37"/>
      <c r="C753" s="37"/>
      <c r="D753" s="37"/>
      <c r="E753" s="37"/>
      <c r="F753" s="37"/>
      <c r="G753" s="37"/>
      <c r="H753" s="37"/>
      <c r="I753" s="37"/>
      <c r="J753" s="37"/>
      <c r="K753" s="37"/>
      <c r="L753" s="37"/>
      <c r="M753" s="37"/>
      <c r="N753" s="37"/>
      <c r="O753" s="37"/>
      <c r="P753" s="37"/>
      <c r="Q753" s="27"/>
      <c r="R753" s="27"/>
      <c r="S753" s="27"/>
      <c r="T753" s="27"/>
      <c r="U753" s="27"/>
      <c r="V753" s="27"/>
      <c r="W753" s="27"/>
    </row>
    <row r="754" spans="1:23" ht="15" customHeight="1" x14ac:dyDescent="0.2">
      <c r="A754" s="37"/>
      <c r="B754" s="37"/>
      <c r="C754" s="37"/>
      <c r="D754" s="37"/>
      <c r="E754" s="37"/>
      <c r="F754" s="37"/>
      <c r="G754" s="37"/>
      <c r="H754" s="37"/>
      <c r="I754" s="37"/>
      <c r="J754" s="37"/>
      <c r="K754" s="37"/>
      <c r="L754" s="37"/>
      <c r="M754" s="37"/>
      <c r="N754" s="37"/>
      <c r="O754" s="37"/>
      <c r="P754" s="37"/>
      <c r="Q754" s="27"/>
      <c r="R754" s="27"/>
      <c r="S754" s="27"/>
      <c r="T754" s="27"/>
      <c r="U754" s="27"/>
      <c r="V754" s="27"/>
      <c r="W754" s="27"/>
    </row>
    <row r="755" spans="1:23" ht="15" customHeight="1" x14ac:dyDescent="0.2">
      <c r="A755" s="37"/>
      <c r="B755" s="37"/>
      <c r="C755" s="37"/>
      <c r="D755" s="37"/>
      <c r="E755" s="37"/>
      <c r="F755" s="37"/>
      <c r="G755" s="37"/>
      <c r="H755" s="37"/>
      <c r="I755" s="37"/>
      <c r="J755" s="37"/>
      <c r="K755" s="37"/>
      <c r="L755" s="37"/>
      <c r="M755" s="37"/>
      <c r="N755" s="37"/>
      <c r="O755" s="37"/>
      <c r="P755" s="37"/>
      <c r="Q755" s="27"/>
      <c r="R755" s="27"/>
      <c r="S755" s="27"/>
      <c r="T755" s="27"/>
      <c r="U755" s="27"/>
      <c r="V755" s="27"/>
      <c r="W755" s="27"/>
    </row>
    <row r="756" spans="1:23" ht="15" customHeight="1" x14ac:dyDescent="0.2">
      <c r="A756" s="37"/>
      <c r="B756" s="37"/>
      <c r="C756" s="37"/>
      <c r="D756" s="37"/>
      <c r="E756" s="37"/>
      <c r="F756" s="37"/>
      <c r="G756" s="37"/>
      <c r="H756" s="37"/>
      <c r="I756" s="37"/>
      <c r="J756" s="37"/>
      <c r="K756" s="37"/>
      <c r="L756" s="37"/>
      <c r="M756" s="37"/>
      <c r="N756" s="37"/>
      <c r="O756" s="37"/>
      <c r="P756" s="37"/>
      <c r="Q756" s="27"/>
      <c r="R756" s="27"/>
      <c r="S756" s="27"/>
      <c r="T756" s="27"/>
      <c r="U756" s="27"/>
      <c r="V756" s="27"/>
      <c r="W756" s="27"/>
    </row>
    <row r="757" spans="1:23" ht="15" customHeight="1" x14ac:dyDescent="0.2">
      <c r="A757" s="37"/>
      <c r="B757" s="37"/>
      <c r="C757" s="37"/>
      <c r="D757" s="37"/>
      <c r="E757" s="37"/>
      <c r="F757" s="37"/>
      <c r="G757" s="37"/>
      <c r="H757" s="37"/>
      <c r="I757" s="37"/>
      <c r="J757" s="37"/>
      <c r="K757" s="37"/>
      <c r="L757" s="37"/>
      <c r="M757" s="37"/>
      <c r="N757" s="37"/>
      <c r="O757" s="37"/>
      <c r="P757" s="37"/>
      <c r="Q757" s="27"/>
      <c r="R757" s="27"/>
      <c r="S757" s="27"/>
      <c r="T757" s="27"/>
      <c r="U757" s="27"/>
      <c r="V757" s="27"/>
      <c r="W757" s="27"/>
    </row>
    <row r="758" spans="1:23" ht="15" customHeight="1" x14ac:dyDescent="0.2">
      <c r="A758" s="37"/>
      <c r="B758" s="37"/>
      <c r="C758" s="37"/>
      <c r="D758" s="37"/>
      <c r="E758" s="37"/>
      <c r="F758" s="37"/>
      <c r="G758" s="37"/>
      <c r="H758" s="37"/>
      <c r="I758" s="37"/>
      <c r="J758" s="37"/>
      <c r="K758" s="37"/>
      <c r="L758" s="37"/>
      <c r="M758" s="37"/>
      <c r="N758" s="37"/>
      <c r="O758" s="37"/>
      <c r="P758" s="37"/>
      <c r="Q758" s="27"/>
      <c r="R758" s="27"/>
      <c r="S758" s="27"/>
      <c r="T758" s="27"/>
      <c r="U758" s="27"/>
      <c r="V758" s="27"/>
      <c r="W758" s="27"/>
    </row>
    <row r="759" spans="1:23" ht="15" customHeight="1" x14ac:dyDescent="0.2">
      <c r="A759" s="37"/>
      <c r="B759" s="37"/>
      <c r="C759" s="37"/>
      <c r="D759" s="37"/>
      <c r="E759" s="37"/>
      <c r="F759" s="37"/>
      <c r="G759" s="37"/>
      <c r="H759" s="37"/>
      <c r="I759" s="37"/>
      <c r="J759" s="37"/>
      <c r="K759" s="37"/>
      <c r="L759" s="37"/>
      <c r="M759" s="37"/>
      <c r="N759" s="37"/>
      <c r="O759" s="37"/>
      <c r="P759" s="37"/>
      <c r="Q759" s="27"/>
      <c r="R759" s="27"/>
      <c r="S759" s="27"/>
      <c r="T759" s="27"/>
      <c r="U759" s="27"/>
      <c r="V759" s="27"/>
      <c r="W759" s="27"/>
    </row>
    <row r="760" spans="1:23" ht="15" customHeight="1" x14ac:dyDescent="0.2">
      <c r="A760" s="37"/>
      <c r="B760" s="37"/>
      <c r="C760" s="37"/>
      <c r="D760" s="37"/>
      <c r="E760" s="37"/>
      <c r="F760" s="37"/>
      <c r="G760" s="37"/>
      <c r="H760" s="37"/>
      <c r="I760" s="37"/>
      <c r="J760" s="37"/>
      <c r="K760" s="37"/>
      <c r="L760" s="37"/>
      <c r="M760" s="37"/>
      <c r="N760" s="37"/>
      <c r="O760" s="37"/>
      <c r="P760" s="37"/>
      <c r="Q760" s="27"/>
      <c r="R760" s="27"/>
      <c r="S760" s="27"/>
      <c r="T760" s="27"/>
      <c r="U760" s="27"/>
      <c r="V760" s="27"/>
      <c r="W760" s="27"/>
    </row>
    <row r="761" spans="1:23" ht="15" customHeight="1" x14ac:dyDescent="0.2">
      <c r="A761" s="37"/>
      <c r="B761" s="37"/>
      <c r="C761" s="37"/>
      <c r="D761" s="37"/>
      <c r="E761" s="37"/>
      <c r="F761" s="37"/>
      <c r="G761" s="37"/>
      <c r="H761" s="37"/>
      <c r="I761" s="37"/>
      <c r="J761" s="37"/>
      <c r="K761" s="37"/>
      <c r="L761" s="37"/>
      <c r="M761" s="37"/>
      <c r="N761" s="37"/>
      <c r="O761" s="37"/>
      <c r="P761" s="37"/>
      <c r="Q761" s="27"/>
      <c r="R761" s="27"/>
      <c r="S761" s="27"/>
      <c r="T761" s="27"/>
      <c r="U761" s="27"/>
      <c r="V761" s="27"/>
      <c r="W761" s="27"/>
    </row>
    <row r="762" spans="1:23" ht="15" customHeight="1" x14ac:dyDescent="0.2">
      <c r="A762" s="37"/>
      <c r="B762" s="37"/>
      <c r="C762" s="37"/>
      <c r="D762" s="37"/>
      <c r="E762" s="37"/>
      <c r="F762" s="37"/>
      <c r="G762" s="37"/>
      <c r="H762" s="37"/>
      <c r="I762" s="37"/>
      <c r="J762" s="37"/>
      <c r="K762" s="37"/>
      <c r="L762" s="37"/>
      <c r="M762" s="37"/>
      <c r="N762" s="37"/>
      <c r="O762" s="37"/>
      <c r="P762" s="37"/>
      <c r="Q762" s="27"/>
      <c r="R762" s="27"/>
      <c r="S762" s="27"/>
      <c r="T762" s="27"/>
      <c r="U762" s="27"/>
      <c r="V762" s="27"/>
      <c r="W762" s="27"/>
    </row>
    <row r="763" spans="1:23" ht="15" customHeight="1" x14ac:dyDescent="0.2">
      <c r="A763" s="37"/>
      <c r="B763" s="37"/>
      <c r="C763" s="37"/>
      <c r="D763" s="37"/>
      <c r="E763" s="37"/>
      <c r="F763" s="37"/>
      <c r="G763" s="37"/>
      <c r="H763" s="37"/>
      <c r="I763" s="37"/>
      <c r="J763" s="37"/>
      <c r="K763" s="37"/>
      <c r="L763" s="37"/>
      <c r="M763" s="37"/>
      <c r="N763" s="37"/>
      <c r="O763" s="37"/>
      <c r="P763" s="37"/>
      <c r="Q763" s="27"/>
      <c r="R763" s="27"/>
      <c r="S763" s="27"/>
      <c r="T763" s="27"/>
      <c r="U763" s="27"/>
      <c r="V763" s="27"/>
      <c r="W763" s="27"/>
    </row>
    <row r="764" spans="1:23" ht="15" customHeight="1" x14ac:dyDescent="0.2">
      <c r="A764" s="37"/>
      <c r="B764" s="37"/>
      <c r="C764" s="37"/>
      <c r="D764" s="37"/>
      <c r="E764" s="37"/>
      <c r="F764" s="37"/>
      <c r="G764" s="37"/>
      <c r="H764" s="37"/>
      <c r="I764" s="37"/>
      <c r="J764" s="37"/>
      <c r="K764" s="37"/>
      <c r="L764" s="37"/>
      <c r="M764" s="37"/>
      <c r="N764" s="37"/>
      <c r="O764" s="37"/>
      <c r="P764" s="37"/>
      <c r="Q764" s="27"/>
      <c r="R764" s="27"/>
      <c r="S764" s="27"/>
      <c r="T764" s="27"/>
      <c r="U764" s="27"/>
      <c r="V764" s="27"/>
      <c r="W764" s="27"/>
    </row>
    <row r="765" spans="1:23" ht="15" customHeight="1" x14ac:dyDescent="0.2">
      <c r="A765" s="37"/>
      <c r="B765" s="37"/>
      <c r="C765" s="37"/>
      <c r="D765" s="37"/>
      <c r="E765" s="37"/>
      <c r="F765" s="37"/>
      <c r="G765" s="37"/>
      <c r="H765" s="37"/>
      <c r="I765" s="37"/>
      <c r="J765" s="37"/>
      <c r="K765" s="37"/>
      <c r="L765" s="37"/>
      <c r="M765" s="37"/>
      <c r="N765" s="37"/>
      <c r="O765" s="37"/>
      <c r="P765" s="37"/>
      <c r="Q765" s="27"/>
      <c r="R765" s="27"/>
      <c r="S765" s="27"/>
      <c r="T765" s="27"/>
      <c r="U765" s="27"/>
      <c r="V765" s="27"/>
      <c r="W765" s="27"/>
    </row>
    <row r="766" spans="1:23" ht="15" customHeight="1" x14ac:dyDescent="0.2">
      <c r="A766" s="37"/>
      <c r="B766" s="37"/>
      <c r="C766" s="37"/>
      <c r="D766" s="37"/>
      <c r="E766" s="37"/>
      <c r="F766" s="37"/>
      <c r="G766" s="37"/>
      <c r="H766" s="37"/>
      <c r="I766" s="37"/>
      <c r="J766" s="37"/>
      <c r="K766" s="37"/>
      <c r="L766" s="37"/>
      <c r="M766" s="37"/>
      <c r="N766" s="37"/>
      <c r="O766" s="37"/>
      <c r="P766" s="37"/>
      <c r="Q766" s="27"/>
      <c r="R766" s="27"/>
      <c r="S766" s="27"/>
      <c r="T766" s="27"/>
      <c r="U766" s="27"/>
      <c r="V766" s="27"/>
      <c r="W766" s="27"/>
    </row>
    <row r="767" spans="1:23" ht="15" customHeight="1" x14ac:dyDescent="0.2">
      <c r="A767" s="37"/>
      <c r="B767" s="37"/>
      <c r="C767" s="37"/>
      <c r="D767" s="37"/>
      <c r="E767" s="37"/>
      <c r="F767" s="37"/>
      <c r="G767" s="37"/>
      <c r="H767" s="37"/>
      <c r="I767" s="37"/>
      <c r="J767" s="37"/>
      <c r="K767" s="37"/>
      <c r="L767" s="37"/>
      <c r="M767" s="37"/>
      <c r="N767" s="37"/>
      <c r="O767" s="37"/>
      <c r="P767" s="37"/>
      <c r="Q767" s="27"/>
      <c r="R767" s="27"/>
      <c r="S767" s="27"/>
      <c r="T767" s="27"/>
      <c r="U767" s="27"/>
      <c r="V767" s="27"/>
      <c r="W767" s="27"/>
    </row>
    <row r="768" spans="1:23" ht="15" customHeight="1" x14ac:dyDescent="0.2">
      <c r="A768" s="37"/>
      <c r="B768" s="37"/>
      <c r="C768" s="37"/>
      <c r="D768" s="37"/>
      <c r="E768" s="37"/>
      <c r="F768" s="37"/>
      <c r="G768" s="37"/>
      <c r="H768" s="37"/>
      <c r="I768" s="37"/>
      <c r="J768" s="37"/>
      <c r="K768" s="37"/>
      <c r="L768" s="37"/>
      <c r="M768" s="37"/>
      <c r="N768" s="37"/>
      <c r="O768" s="37"/>
      <c r="P768" s="37"/>
      <c r="Q768" s="27"/>
      <c r="R768" s="27"/>
      <c r="S768" s="27"/>
      <c r="T768" s="27"/>
      <c r="U768" s="27"/>
      <c r="V768" s="27"/>
      <c r="W768" s="27"/>
    </row>
    <row r="769" spans="1:23" ht="15" customHeight="1" x14ac:dyDescent="0.2">
      <c r="A769" s="37"/>
      <c r="B769" s="37"/>
      <c r="C769" s="37"/>
      <c r="D769" s="37"/>
      <c r="E769" s="37"/>
      <c r="F769" s="37"/>
      <c r="G769" s="37"/>
      <c r="H769" s="37"/>
      <c r="I769" s="37"/>
      <c r="J769" s="37"/>
      <c r="K769" s="37"/>
      <c r="L769" s="37"/>
      <c r="M769" s="37"/>
      <c r="N769" s="37"/>
      <c r="O769" s="37"/>
      <c r="P769" s="37"/>
      <c r="Q769" s="27"/>
      <c r="R769" s="27"/>
      <c r="S769" s="27"/>
      <c r="T769" s="27"/>
      <c r="U769" s="27"/>
      <c r="V769" s="27"/>
      <c r="W769" s="27"/>
    </row>
    <row r="770" spans="1:23" ht="15" customHeight="1" x14ac:dyDescent="0.2">
      <c r="A770" s="37"/>
      <c r="B770" s="37"/>
      <c r="C770" s="37"/>
      <c r="D770" s="37"/>
      <c r="E770" s="37"/>
      <c r="F770" s="37"/>
      <c r="G770" s="37"/>
      <c r="H770" s="37"/>
      <c r="I770" s="37"/>
      <c r="J770" s="37"/>
      <c r="K770" s="37"/>
      <c r="L770" s="37"/>
      <c r="M770" s="37"/>
      <c r="N770" s="37"/>
      <c r="O770" s="37"/>
      <c r="P770" s="37"/>
      <c r="Q770" s="27"/>
      <c r="R770" s="27"/>
      <c r="S770" s="27"/>
      <c r="T770" s="27"/>
      <c r="U770" s="27"/>
      <c r="V770" s="27"/>
      <c r="W770" s="27"/>
    </row>
    <row r="771" spans="1:23" ht="15" customHeight="1" x14ac:dyDescent="0.2">
      <c r="A771" s="37"/>
      <c r="B771" s="37"/>
      <c r="C771" s="37"/>
      <c r="D771" s="37"/>
      <c r="E771" s="37"/>
      <c r="F771" s="37"/>
      <c r="G771" s="37"/>
      <c r="H771" s="37"/>
      <c r="I771" s="37"/>
      <c r="J771" s="37"/>
      <c r="K771" s="37"/>
      <c r="L771" s="37"/>
      <c r="M771" s="37"/>
      <c r="N771" s="37"/>
      <c r="O771" s="37"/>
      <c r="P771" s="37"/>
      <c r="Q771" s="27"/>
      <c r="R771" s="27"/>
      <c r="S771" s="27"/>
      <c r="T771" s="27"/>
      <c r="U771" s="27"/>
      <c r="V771" s="27"/>
      <c r="W771" s="27"/>
    </row>
    <row r="772" spans="1:23" ht="15" customHeight="1" x14ac:dyDescent="0.2">
      <c r="A772" s="37"/>
      <c r="B772" s="37"/>
      <c r="C772" s="37"/>
      <c r="D772" s="37"/>
      <c r="E772" s="37"/>
      <c r="F772" s="37"/>
      <c r="G772" s="37"/>
      <c r="H772" s="37"/>
      <c r="I772" s="37"/>
      <c r="J772" s="37"/>
      <c r="K772" s="37"/>
      <c r="L772" s="37"/>
      <c r="M772" s="37"/>
      <c r="N772" s="37"/>
      <c r="O772" s="37"/>
      <c r="P772" s="37"/>
      <c r="Q772" s="27"/>
      <c r="R772" s="27"/>
      <c r="S772" s="27"/>
      <c r="T772" s="27"/>
      <c r="U772" s="27"/>
      <c r="V772" s="27"/>
      <c r="W772" s="27"/>
    </row>
    <row r="773" spans="1:23" ht="15" customHeight="1" x14ac:dyDescent="0.2">
      <c r="A773" s="37"/>
      <c r="B773" s="37"/>
      <c r="C773" s="37"/>
      <c r="D773" s="37"/>
      <c r="E773" s="37"/>
      <c r="F773" s="37"/>
      <c r="G773" s="37"/>
      <c r="H773" s="37"/>
      <c r="I773" s="37"/>
      <c r="J773" s="37"/>
      <c r="K773" s="37"/>
      <c r="L773" s="37"/>
      <c r="M773" s="37"/>
      <c r="N773" s="37"/>
      <c r="O773" s="37"/>
      <c r="P773" s="37"/>
      <c r="Q773" s="27"/>
      <c r="R773" s="27"/>
      <c r="S773" s="27"/>
      <c r="T773" s="27"/>
      <c r="U773" s="27"/>
      <c r="V773" s="27"/>
      <c r="W773" s="27"/>
    </row>
    <row r="774" spans="1:23" ht="15" customHeight="1" x14ac:dyDescent="0.2">
      <c r="A774" s="37"/>
      <c r="B774" s="37"/>
      <c r="C774" s="37"/>
      <c r="D774" s="37"/>
      <c r="E774" s="37"/>
      <c r="F774" s="37"/>
      <c r="G774" s="37"/>
      <c r="H774" s="37"/>
      <c r="I774" s="37"/>
      <c r="J774" s="37"/>
      <c r="K774" s="37"/>
      <c r="L774" s="37"/>
      <c r="M774" s="37"/>
      <c r="N774" s="37"/>
      <c r="O774" s="37"/>
      <c r="P774" s="37"/>
      <c r="Q774" s="27"/>
      <c r="R774" s="27"/>
      <c r="S774" s="27"/>
      <c r="T774" s="27"/>
      <c r="U774" s="27"/>
      <c r="V774" s="27"/>
      <c r="W774" s="27"/>
    </row>
    <row r="775" spans="1:23" ht="15" customHeight="1" x14ac:dyDescent="0.2">
      <c r="A775" s="37"/>
      <c r="B775" s="37"/>
      <c r="C775" s="37"/>
      <c r="D775" s="37"/>
      <c r="E775" s="37"/>
      <c r="F775" s="37"/>
      <c r="G775" s="37"/>
      <c r="H775" s="37"/>
      <c r="I775" s="37"/>
      <c r="J775" s="37"/>
      <c r="K775" s="37"/>
      <c r="L775" s="37"/>
      <c r="M775" s="37"/>
      <c r="N775" s="37"/>
      <c r="O775" s="37"/>
      <c r="P775" s="37"/>
      <c r="Q775" s="27"/>
      <c r="R775" s="27"/>
      <c r="S775" s="27"/>
      <c r="T775" s="27"/>
      <c r="U775" s="27"/>
      <c r="V775" s="27"/>
      <c r="W775" s="27"/>
    </row>
    <row r="776" spans="1:23" ht="15" customHeight="1" x14ac:dyDescent="0.2">
      <c r="A776" s="37"/>
      <c r="B776" s="37"/>
      <c r="C776" s="37"/>
      <c r="D776" s="37"/>
      <c r="E776" s="37"/>
      <c r="F776" s="37"/>
      <c r="G776" s="37"/>
      <c r="H776" s="37"/>
      <c r="I776" s="37"/>
      <c r="J776" s="37"/>
      <c r="K776" s="37"/>
      <c r="L776" s="37"/>
      <c r="M776" s="37"/>
      <c r="N776" s="37"/>
      <c r="O776" s="37"/>
      <c r="P776" s="37"/>
      <c r="Q776" s="27"/>
      <c r="R776" s="27"/>
      <c r="S776" s="27"/>
      <c r="T776" s="27"/>
      <c r="U776" s="27"/>
      <c r="V776" s="27"/>
      <c r="W776" s="27"/>
    </row>
    <row r="777" spans="1:23" ht="15" customHeight="1" x14ac:dyDescent="0.2">
      <c r="A777" s="37"/>
      <c r="B777" s="37"/>
      <c r="C777" s="37"/>
      <c r="D777" s="37"/>
      <c r="E777" s="37"/>
      <c r="F777" s="37"/>
      <c r="G777" s="37"/>
      <c r="H777" s="37"/>
      <c r="I777" s="37"/>
      <c r="J777" s="37"/>
      <c r="K777" s="37"/>
      <c r="L777" s="37"/>
      <c r="M777" s="37"/>
      <c r="N777" s="37"/>
      <c r="O777" s="37"/>
      <c r="P777" s="37"/>
      <c r="Q777" s="27"/>
      <c r="R777" s="27"/>
      <c r="S777" s="27"/>
      <c r="T777" s="27"/>
      <c r="U777" s="27"/>
      <c r="V777" s="27"/>
      <c r="W777" s="27"/>
    </row>
    <row r="778" spans="1:23" ht="15" customHeight="1" x14ac:dyDescent="0.2">
      <c r="A778" s="37"/>
      <c r="B778" s="37"/>
      <c r="C778" s="37"/>
      <c r="D778" s="37"/>
      <c r="E778" s="37"/>
      <c r="F778" s="37"/>
      <c r="G778" s="37"/>
      <c r="H778" s="37"/>
      <c r="I778" s="37"/>
      <c r="J778" s="37"/>
      <c r="K778" s="37"/>
      <c r="L778" s="37"/>
      <c r="M778" s="37"/>
      <c r="N778" s="37"/>
      <c r="O778" s="37"/>
      <c r="P778" s="37"/>
      <c r="Q778" s="27"/>
      <c r="R778" s="27"/>
      <c r="S778" s="27"/>
      <c r="T778" s="27"/>
      <c r="U778" s="27"/>
      <c r="V778" s="27"/>
      <c r="W778" s="27"/>
    </row>
    <row r="779" spans="1:23" ht="15" customHeight="1" x14ac:dyDescent="0.2">
      <c r="A779" s="37"/>
      <c r="B779" s="37"/>
      <c r="C779" s="37"/>
      <c r="D779" s="37"/>
      <c r="E779" s="37"/>
      <c r="F779" s="37"/>
      <c r="G779" s="37"/>
      <c r="H779" s="37"/>
      <c r="I779" s="37"/>
      <c r="J779" s="37"/>
      <c r="K779" s="37"/>
      <c r="L779" s="37"/>
      <c r="M779" s="37"/>
      <c r="N779" s="37"/>
      <c r="O779" s="37"/>
      <c r="P779" s="37"/>
      <c r="Q779" s="27"/>
      <c r="R779" s="27"/>
      <c r="S779" s="27"/>
      <c r="T779" s="27"/>
      <c r="U779" s="27"/>
      <c r="V779" s="27"/>
      <c r="W779" s="27"/>
    </row>
    <row r="780" spans="1:23" ht="15" customHeight="1" x14ac:dyDescent="0.2">
      <c r="A780" s="37"/>
      <c r="B780" s="37"/>
      <c r="C780" s="37"/>
      <c r="D780" s="37"/>
      <c r="E780" s="37"/>
      <c r="F780" s="37"/>
      <c r="G780" s="37"/>
      <c r="H780" s="37"/>
      <c r="I780" s="37"/>
      <c r="J780" s="37"/>
      <c r="K780" s="37"/>
      <c r="L780" s="37"/>
      <c r="M780" s="37"/>
      <c r="N780" s="37"/>
      <c r="O780" s="37"/>
      <c r="P780" s="37"/>
      <c r="Q780" s="27"/>
      <c r="R780" s="27"/>
      <c r="S780" s="27"/>
      <c r="T780" s="27"/>
      <c r="U780" s="27"/>
      <c r="V780" s="27"/>
      <c r="W780" s="27"/>
    </row>
    <row r="781" spans="1:23" ht="15" customHeight="1" x14ac:dyDescent="0.2">
      <c r="A781" s="37"/>
      <c r="B781" s="37"/>
      <c r="C781" s="37"/>
      <c r="D781" s="37"/>
      <c r="E781" s="37"/>
      <c r="F781" s="37"/>
      <c r="G781" s="37"/>
      <c r="H781" s="37"/>
      <c r="I781" s="37"/>
      <c r="J781" s="37"/>
      <c r="K781" s="37"/>
      <c r="L781" s="37"/>
      <c r="M781" s="37"/>
      <c r="N781" s="37"/>
      <c r="O781" s="37"/>
      <c r="P781" s="37"/>
      <c r="Q781" s="27"/>
      <c r="R781" s="27"/>
      <c r="S781" s="27"/>
      <c r="T781" s="27"/>
      <c r="U781" s="27"/>
      <c r="V781" s="27"/>
      <c r="W781" s="27"/>
    </row>
    <row r="782" spans="1:23" ht="15" customHeight="1" x14ac:dyDescent="0.2">
      <c r="A782" s="37"/>
      <c r="B782" s="37"/>
      <c r="C782" s="37"/>
      <c r="D782" s="37"/>
      <c r="E782" s="37"/>
      <c r="F782" s="37"/>
      <c r="G782" s="37"/>
      <c r="H782" s="37"/>
      <c r="I782" s="37"/>
      <c r="J782" s="37"/>
      <c r="K782" s="37"/>
      <c r="L782" s="37"/>
      <c r="M782" s="37"/>
      <c r="N782" s="37"/>
      <c r="O782" s="37"/>
      <c r="P782" s="37"/>
      <c r="Q782" s="27"/>
      <c r="R782" s="27"/>
      <c r="S782" s="27"/>
      <c r="T782" s="27"/>
      <c r="U782" s="27"/>
      <c r="V782" s="27"/>
      <c r="W782" s="27"/>
    </row>
    <row r="783" spans="1:23" ht="15" customHeight="1" x14ac:dyDescent="0.2">
      <c r="A783" s="37"/>
      <c r="B783" s="37"/>
      <c r="C783" s="37"/>
      <c r="D783" s="37"/>
      <c r="E783" s="37"/>
      <c r="F783" s="37"/>
      <c r="G783" s="37"/>
      <c r="H783" s="37"/>
      <c r="I783" s="37"/>
      <c r="J783" s="37"/>
      <c r="K783" s="37"/>
      <c r="L783" s="37"/>
      <c r="M783" s="37"/>
      <c r="N783" s="37"/>
      <c r="O783" s="37"/>
      <c r="P783" s="37"/>
      <c r="Q783" s="27"/>
      <c r="R783" s="27"/>
      <c r="S783" s="27"/>
      <c r="T783" s="27"/>
      <c r="U783" s="27"/>
      <c r="V783" s="27"/>
      <c r="W783" s="27"/>
    </row>
    <row r="784" spans="1:23" ht="15" customHeight="1" x14ac:dyDescent="0.2">
      <c r="A784" s="37"/>
      <c r="B784" s="37"/>
      <c r="C784" s="37"/>
      <c r="D784" s="37"/>
      <c r="E784" s="37"/>
      <c r="F784" s="37"/>
      <c r="G784" s="37"/>
      <c r="H784" s="37"/>
      <c r="I784" s="37"/>
      <c r="J784" s="37"/>
      <c r="K784" s="37"/>
      <c r="L784" s="37"/>
      <c r="M784" s="37"/>
      <c r="N784" s="37"/>
      <c r="O784" s="37"/>
      <c r="P784" s="37"/>
      <c r="Q784" s="27"/>
      <c r="R784" s="27"/>
      <c r="S784" s="27"/>
      <c r="T784" s="27"/>
      <c r="U784" s="27"/>
      <c r="V784" s="27"/>
      <c r="W784" s="27"/>
    </row>
    <row r="785" spans="1:23" ht="15" customHeight="1" x14ac:dyDescent="0.2">
      <c r="A785" s="37"/>
      <c r="B785" s="37"/>
      <c r="C785" s="37"/>
      <c r="D785" s="37"/>
      <c r="E785" s="37"/>
      <c r="F785" s="37"/>
      <c r="G785" s="37"/>
      <c r="H785" s="37"/>
      <c r="I785" s="37"/>
      <c r="J785" s="37"/>
      <c r="K785" s="37"/>
      <c r="L785" s="37"/>
      <c r="M785" s="37"/>
      <c r="N785" s="37"/>
      <c r="O785" s="37"/>
      <c r="P785" s="37"/>
      <c r="Q785" s="27"/>
      <c r="R785" s="27"/>
      <c r="S785" s="27"/>
      <c r="T785" s="27"/>
      <c r="U785" s="27"/>
      <c r="V785" s="27"/>
      <c r="W785" s="27"/>
    </row>
    <row r="786" spans="1:23" ht="15" customHeight="1" x14ac:dyDescent="0.2">
      <c r="A786" s="37"/>
      <c r="B786" s="37"/>
      <c r="C786" s="37"/>
      <c r="D786" s="37"/>
      <c r="E786" s="37"/>
      <c r="F786" s="37"/>
      <c r="G786" s="37"/>
      <c r="H786" s="37"/>
      <c r="I786" s="37"/>
      <c r="J786" s="37"/>
      <c r="K786" s="37"/>
      <c r="L786" s="37"/>
      <c r="M786" s="37"/>
      <c r="N786" s="37"/>
      <c r="O786" s="37"/>
      <c r="P786" s="37"/>
      <c r="Q786" s="27"/>
      <c r="R786" s="27"/>
      <c r="S786" s="27"/>
      <c r="T786" s="27"/>
      <c r="U786" s="27"/>
      <c r="V786" s="27"/>
      <c r="W786" s="27"/>
    </row>
    <row r="787" spans="1:23" ht="15" customHeight="1" x14ac:dyDescent="0.2">
      <c r="A787" s="37"/>
      <c r="B787" s="37"/>
      <c r="C787" s="37"/>
      <c r="D787" s="37"/>
      <c r="E787" s="37"/>
      <c r="F787" s="37"/>
      <c r="G787" s="37"/>
      <c r="H787" s="37"/>
      <c r="I787" s="37"/>
      <c r="J787" s="37"/>
      <c r="K787" s="37"/>
      <c r="L787" s="37"/>
      <c r="M787" s="37"/>
      <c r="N787" s="37"/>
      <c r="O787" s="37"/>
      <c r="P787" s="37"/>
      <c r="Q787" s="27"/>
      <c r="R787" s="27"/>
      <c r="S787" s="27"/>
      <c r="T787" s="27"/>
      <c r="U787" s="27"/>
      <c r="V787" s="27"/>
      <c r="W787" s="27"/>
    </row>
    <row r="788" spans="1:23" ht="15" customHeight="1" x14ac:dyDescent="0.2">
      <c r="A788" s="37"/>
      <c r="B788" s="37"/>
      <c r="C788" s="37"/>
      <c r="D788" s="37"/>
      <c r="E788" s="37"/>
      <c r="F788" s="37"/>
      <c r="G788" s="37"/>
      <c r="H788" s="37"/>
      <c r="I788" s="37"/>
      <c r="J788" s="37"/>
      <c r="K788" s="37"/>
      <c r="L788" s="37"/>
      <c r="M788" s="37"/>
      <c r="N788" s="37"/>
      <c r="O788" s="37"/>
      <c r="P788" s="37"/>
      <c r="Q788" s="27"/>
      <c r="R788" s="27"/>
      <c r="S788" s="27"/>
      <c r="T788" s="27"/>
      <c r="U788" s="27"/>
      <c r="V788" s="27"/>
      <c r="W788" s="27"/>
    </row>
    <row r="789" spans="1:23" ht="15" customHeight="1" x14ac:dyDescent="0.2">
      <c r="A789" s="37"/>
      <c r="B789" s="37"/>
      <c r="C789" s="37"/>
      <c r="D789" s="37"/>
      <c r="E789" s="37"/>
      <c r="F789" s="37"/>
      <c r="G789" s="37"/>
      <c r="H789" s="37"/>
      <c r="I789" s="37"/>
      <c r="J789" s="37"/>
      <c r="K789" s="37"/>
      <c r="L789" s="37"/>
      <c r="M789" s="37"/>
      <c r="N789" s="37"/>
      <c r="O789" s="37"/>
      <c r="P789" s="37"/>
      <c r="Q789" s="27"/>
      <c r="R789" s="27"/>
      <c r="S789" s="27"/>
      <c r="T789" s="27"/>
      <c r="U789" s="27"/>
      <c r="V789" s="27"/>
      <c r="W789" s="27"/>
    </row>
    <row r="790" spans="1:23" ht="15" customHeight="1" x14ac:dyDescent="0.2">
      <c r="A790" s="37"/>
      <c r="B790" s="37"/>
      <c r="C790" s="37"/>
      <c r="D790" s="37"/>
      <c r="E790" s="37"/>
      <c r="F790" s="37"/>
      <c r="G790" s="37"/>
      <c r="H790" s="37"/>
      <c r="I790" s="37"/>
      <c r="J790" s="37"/>
      <c r="K790" s="37"/>
      <c r="L790" s="37"/>
      <c r="M790" s="37"/>
      <c r="N790" s="37"/>
      <c r="O790" s="37"/>
      <c r="P790" s="37"/>
      <c r="Q790" s="27"/>
      <c r="R790" s="27"/>
      <c r="S790" s="27"/>
      <c r="T790" s="27"/>
      <c r="U790" s="27"/>
      <c r="V790" s="27"/>
      <c r="W790" s="27"/>
    </row>
    <row r="791" spans="1:23" ht="15" customHeight="1" x14ac:dyDescent="0.2">
      <c r="A791" s="37"/>
      <c r="B791" s="37"/>
      <c r="C791" s="37"/>
      <c r="D791" s="37"/>
      <c r="E791" s="37"/>
      <c r="F791" s="37"/>
      <c r="G791" s="37"/>
      <c r="H791" s="37"/>
      <c r="I791" s="37"/>
      <c r="J791" s="37"/>
      <c r="K791" s="37"/>
      <c r="L791" s="37"/>
      <c r="M791" s="37"/>
      <c r="N791" s="37"/>
      <c r="O791" s="37"/>
      <c r="P791" s="37"/>
      <c r="Q791" s="27"/>
      <c r="R791" s="27"/>
      <c r="S791" s="27"/>
      <c r="T791" s="27"/>
      <c r="U791" s="27"/>
      <c r="V791" s="27"/>
      <c r="W791" s="27"/>
    </row>
    <row r="792" spans="1:23" ht="15" customHeight="1" x14ac:dyDescent="0.2">
      <c r="A792" s="37"/>
      <c r="B792" s="37"/>
      <c r="C792" s="37"/>
      <c r="D792" s="37"/>
      <c r="E792" s="37"/>
      <c r="F792" s="37"/>
      <c r="G792" s="37"/>
      <c r="H792" s="37"/>
      <c r="I792" s="37"/>
      <c r="J792" s="37"/>
      <c r="K792" s="37"/>
      <c r="L792" s="37"/>
      <c r="M792" s="37"/>
      <c r="N792" s="37"/>
      <c r="O792" s="37"/>
      <c r="P792" s="37"/>
      <c r="Q792" s="27"/>
      <c r="R792" s="27"/>
      <c r="S792" s="27"/>
      <c r="T792" s="27"/>
      <c r="U792" s="27"/>
      <c r="V792" s="27"/>
      <c r="W792" s="27"/>
    </row>
    <row r="793" spans="1:23" ht="15" customHeight="1" x14ac:dyDescent="0.2">
      <c r="A793" s="37"/>
      <c r="B793" s="37"/>
      <c r="C793" s="37"/>
      <c r="D793" s="37"/>
      <c r="E793" s="37"/>
      <c r="F793" s="37"/>
      <c r="G793" s="37"/>
      <c r="H793" s="37"/>
      <c r="I793" s="37"/>
      <c r="J793" s="37"/>
      <c r="K793" s="37"/>
      <c r="L793" s="37"/>
      <c r="M793" s="37"/>
      <c r="N793" s="37"/>
      <c r="O793" s="37"/>
      <c r="P793" s="37"/>
      <c r="Q793" s="27"/>
      <c r="R793" s="27"/>
      <c r="S793" s="27"/>
      <c r="T793" s="27"/>
      <c r="U793" s="27"/>
      <c r="V793" s="27"/>
      <c r="W793" s="27"/>
    </row>
    <row r="794" spans="1:23" ht="15" customHeight="1" x14ac:dyDescent="0.2">
      <c r="A794" s="37"/>
      <c r="B794" s="37"/>
      <c r="C794" s="37"/>
      <c r="D794" s="37"/>
      <c r="E794" s="37"/>
      <c r="F794" s="37"/>
      <c r="G794" s="37"/>
      <c r="H794" s="37"/>
      <c r="I794" s="37"/>
      <c r="J794" s="37"/>
      <c r="K794" s="37"/>
      <c r="L794" s="37"/>
      <c r="M794" s="37"/>
      <c r="N794" s="37"/>
      <c r="O794" s="37"/>
      <c r="P794" s="37"/>
      <c r="Q794" s="27"/>
      <c r="R794" s="27"/>
      <c r="S794" s="27"/>
      <c r="T794" s="27"/>
      <c r="U794" s="27"/>
      <c r="V794" s="27"/>
      <c r="W794" s="27"/>
    </row>
    <row r="795" spans="1:23" ht="15" customHeight="1" x14ac:dyDescent="0.2">
      <c r="A795" s="37"/>
      <c r="B795" s="37"/>
      <c r="C795" s="37"/>
      <c r="D795" s="37"/>
      <c r="E795" s="37"/>
      <c r="F795" s="37"/>
      <c r="G795" s="37"/>
      <c r="H795" s="37"/>
      <c r="I795" s="37"/>
      <c r="J795" s="37"/>
      <c r="K795" s="37"/>
      <c r="L795" s="37"/>
      <c r="M795" s="37"/>
      <c r="N795" s="37"/>
      <c r="O795" s="37"/>
      <c r="P795" s="37"/>
      <c r="Q795" s="27"/>
      <c r="R795" s="27"/>
      <c r="S795" s="27"/>
      <c r="T795" s="27"/>
      <c r="U795" s="27"/>
      <c r="V795" s="27"/>
      <c r="W795" s="27"/>
    </row>
    <row r="796" spans="1:23" ht="15" customHeight="1" x14ac:dyDescent="0.2">
      <c r="A796" s="37"/>
      <c r="B796" s="37"/>
      <c r="C796" s="37"/>
      <c r="D796" s="37"/>
      <c r="E796" s="37"/>
      <c r="F796" s="37"/>
      <c r="G796" s="37"/>
      <c r="H796" s="37"/>
      <c r="I796" s="37"/>
      <c r="J796" s="37"/>
      <c r="K796" s="37"/>
      <c r="L796" s="37"/>
      <c r="M796" s="37"/>
      <c r="N796" s="37"/>
      <c r="O796" s="37"/>
      <c r="P796" s="37"/>
      <c r="Q796" s="27"/>
      <c r="R796" s="27"/>
      <c r="S796" s="27"/>
      <c r="T796" s="27"/>
      <c r="U796" s="27"/>
      <c r="V796" s="27"/>
      <c r="W796" s="27"/>
    </row>
    <row r="797" spans="1:23" ht="15" customHeight="1" x14ac:dyDescent="0.2">
      <c r="A797" s="37"/>
      <c r="B797" s="37"/>
      <c r="C797" s="37"/>
      <c r="D797" s="37"/>
      <c r="E797" s="37"/>
      <c r="F797" s="37"/>
      <c r="G797" s="37"/>
      <c r="H797" s="37"/>
      <c r="I797" s="37"/>
      <c r="J797" s="37"/>
      <c r="K797" s="37"/>
      <c r="L797" s="37"/>
      <c r="M797" s="37"/>
      <c r="N797" s="37"/>
      <c r="O797" s="37"/>
      <c r="P797" s="37"/>
      <c r="Q797" s="27"/>
      <c r="R797" s="27"/>
      <c r="S797" s="27"/>
      <c r="T797" s="27"/>
      <c r="U797" s="27"/>
      <c r="V797" s="27"/>
      <c r="W797" s="27"/>
    </row>
    <row r="798" spans="1:23" ht="15" customHeight="1" x14ac:dyDescent="0.2">
      <c r="A798" s="37"/>
      <c r="B798" s="37"/>
      <c r="C798" s="37"/>
      <c r="D798" s="37"/>
      <c r="E798" s="37"/>
      <c r="F798" s="37"/>
      <c r="G798" s="37"/>
      <c r="H798" s="37"/>
      <c r="I798" s="37"/>
      <c r="J798" s="37"/>
      <c r="K798" s="37"/>
      <c r="L798" s="37"/>
      <c r="M798" s="37"/>
      <c r="N798" s="37"/>
      <c r="O798" s="37"/>
      <c r="P798" s="37"/>
      <c r="Q798" s="27"/>
      <c r="R798" s="27"/>
      <c r="S798" s="27"/>
      <c r="T798" s="27"/>
      <c r="U798" s="27"/>
      <c r="V798" s="27"/>
      <c r="W798" s="27"/>
    </row>
    <row r="799" spans="1:23" ht="15" customHeight="1" x14ac:dyDescent="0.2">
      <c r="A799" s="37"/>
      <c r="B799" s="37"/>
      <c r="C799" s="37"/>
      <c r="D799" s="37"/>
      <c r="E799" s="37"/>
      <c r="F799" s="37"/>
      <c r="G799" s="37"/>
      <c r="H799" s="37"/>
      <c r="I799" s="37"/>
      <c r="J799" s="37"/>
      <c r="K799" s="37"/>
      <c r="L799" s="37"/>
      <c r="M799" s="37"/>
      <c r="N799" s="37"/>
      <c r="O799" s="37"/>
      <c r="P799" s="37"/>
      <c r="Q799" s="27"/>
      <c r="R799" s="27"/>
      <c r="S799" s="27"/>
      <c r="T799" s="27"/>
      <c r="U799" s="27"/>
      <c r="V799" s="27"/>
      <c r="W799" s="27"/>
    </row>
    <row r="800" spans="1:23" ht="15" customHeight="1" x14ac:dyDescent="0.2">
      <c r="A800" s="37"/>
      <c r="B800" s="37"/>
      <c r="C800" s="37"/>
      <c r="D800" s="37"/>
      <c r="E800" s="37"/>
      <c r="F800" s="37"/>
      <c r="G800" s="37"/>
      <c r="H800" s="37"/>
      <c r="I800" s="37"/>
      <c r="J800" s="37"/>
      <c r="K800" s="37"/>
      <c r="L800" s="37"/>
      <c r="M800" s="37"/>
      <c r="N800" s="37"/>
      <c r="O800" s="37"/>
      <c r="P800" s="37"/>
      <c r="Q800" s="27"/>
      <c r="R800" s="27"/>
      <c r="S800" s="27"/>
      <c r="T800" s="27"/>
      <c r="U800" s="27"/>
      <c r="V800" s="27"/>
      <c r="W800" s="27"/>
    </row>
    <row r="801" spans="1:23" ht="15" customHeight="1" x14ac:dyDescent="0.2">
      <c r="A801" s="37"/>
      <c r="B801" s="37"/>
      <c r="C801" s="37"/>
      <c r="D801" s="37"/>
      <c r="E801" s="37"/>
      <c r="F801" s="37"/>
      <c r="G801" s="37"/>
      <c r="H801" s="37"/>
      <c r="I801" s="37"/>
      <c r="J801" s="37"/>
      <c r="K801" s="37"/>
      <c r="L801" s="37"/>
      <c r="M801" s="37"/>
      <c r="N801" s="37"/>
      <c r="O801" s="37"/>
      <c r="P801" s="37"/>
      <c r="Q801" s="27"/>
      <c r="R801" s="27"/>
      <c r="S801" s="27"/>
      <c r="T801" s="27"/>
      <c r="U801" s="27"/>
      <c r="V801" s="27"/>
      <c r="W801" s="27"/>
    </row>
    <row r="802" spans="1:23" ht="15" customHeight="1" x14ac:dyDescent="0.2">
      <c r="A802" s="37"/>
      <c r="B802" s="37"/>
      <c r="C802" s="37"/>
      <c r="D802" s="37"/>
      <c r="E802" s="37"/>
      <c r="F802" s="37"/>
      <c r="G802" s="37"/>
      <c r="H802" s="37"/>
      <c r="I802" s="37"/>
      <c r="J802" s="37"/>
      <c r="K802" s="37"/>
      <c r="L802" s="37"/>
      <c r="M802" s="37"/>
      <c r="N802" s="37"/>
      <c r="O802" s="37"/>
      <c r="P802" s="37"/>
      <c r="Q802" s="27"/>
      <c r="R802" s="27"/>
      <c r="S802" s="27"/>
      <c r="T802" s="27"/>
      <c r="U802" s="27"/>
      <c r="V802" s="27"/>
      <c r="W802" s="27"/>
    </row>
    <row r="803" spans="1:23" ht="15" customHeight="1" x14ac:dyDescent="0.2">
      <c r="A803" s="37"/>
      <c r="B803" s="37"/>
      <c r="C803" s="37"/>
      <c r="D803" s="37"/>
      <c r="E803" s="37"/>
      <c r="F803" s="37"/>
      <c r="G803" s="37"/>
      <c r="H803" s="37"/>
      <c r="I803" s="37"/>
      <c r="J803" s="37"/>
      <c r="K803" s="37"/>
      <c r="L803" s="37"/>
      <c r="M803" s="37"/>
      <c r="N803" s="37"/>
      <c r="O803" s="37"/>
      <c r="P803" s="37"/>
      <c r="Q803" s="27"/>
      <c r="R803" s="27"/>
      <c r="S803" s="27"/>
      <c r="T803" s="27"/>
      <c r="U803" s="27"/>
      <c r="V803" s="27"/>
      <c r="W803" s="27"/>
    </row>
    <row r="804" spans="1:23" ht="15" customHeight="1" x14ac:dyDescent="0.2">
      <c r="A804" s="37"/>
      <c r="B804" s="37"/>
      <c r="C804" s="37"/>
      <c r="D804" s="37"/>
      <c r="E804" s="37"/>
      <c r="F804" s="37"/>
      <c r="G804" s="37"/>
      <c r="H804" s="37"/>
      <c r="I804" s="37"/>
      <c r="J804" s="37"/>
      <c r="K804" s="37"/>
      <c r="L804" s="37"/>
      <c r="M804" s="37"/>
      <c r="N804" s="37"/>
      <c r="O804" s="37"/>
      <c r="P804" s="37"/>
      <c r="Q804" s="27"/>
      <c r="R804" s="27"/>
      <c r="S804" s="27"/>
      <c r="T804" s="27"/>
      <c r="U804" s="27"/>
      <c r="V804" s="27"/>
      <c r="W804" s="27"/>
    </row>
    <row r="805" spans="1:23" ht="15" customHeight="1" x14ac:dyDescent="0.2">
      <c r="A805" s="37"/>
      <c r="B805" s="37"/>
      <c r="C805" s="37"/>
      <c r="D805" s="37"/>
      <c r="E805" s="37"/>
      <c r="F805" s="37"/>
      <c r="G805" s="37"/>
      <c r="H805" s="37"/>
      <c r="I805" s="37"/>
      <c r="J805" s="37"/>
      <c r="K805" s="37"/>
      <c r="L805" s="37"/>
      <c r="M805" s="37"/>
      <c r="N805" s="37"/>
      <c r="O805" s="37"/>
      <c r="P805" s="37"/>
      <c r="Q805" s="27"/>
      <c r="R805" s="27"/>
      <c r="S805" s="27"/>
      <c r="T805" s="27"/>
      <c r="U805" s="27"/>
      <c r="V805" s="27"/>
      <c r="W805" s="27"/>
    </row>
    <row r="806" spans="1:23" ht="15" customHeight="1" x14ac:dyDescent="0.2">
      <c r="A806" s="37"/>
      <c r="B806" s="37"/>
      <c r="C806" s="37"/>
      <c r="D806" s="37"/>
      <c r="E806" s="37"/>
      <c r="F806" s="37"/>
      <c r="G806" s="37"/>
      <c r="H806" s="37"/>
      <c r="I806" s="37"/>
      <c r="J806" s="37"/>
      <c r="K806" s="37"/>
      <c r="L806" s="37"/>
      <c r="M806" s="37"/>
      <c r="N806" s="37"/>
      <c r="O806" s="37"/>
      <c r="P806" s="37"/>
      <c r="Q806" s="27"/>
      <c r="R806" s="27"/>
      <c r="S806" s="27"/>
      <c r="T806" s="27"/>
      <c r="U806" s="27"/>
      <c r="V806" s="27"/>
      <c r="W806" s="27"/>
    </row>
    <row r="807" spans="1:23" ht="15" customHeight="1" x14ac:dyDescent="0.2">
      <c r="A807" s="37"/>
      <c r="B807" s="37"/>
      <c r="C807" s="37"/>
      <c r="D807" s="37"/>
      <c r="E807" s="37"/>
      <c r="F807" s="37"/>
      <c r="G807" s="37"/>
      <c r="H807" s="37"/>
      <c r="I807" s="37"/>
      <c r="J807" s="37"/>
      <c r="K807" s="37"/>
      <c r="L807" s="37"/>
      <c r="M807" s="37"/>
      <c r="N807" s="37"/>
      <c r="O807" s="37"/>
      <c r="P807" s="37"/>
      <c r="Q807" s="27"/>
      <c r="R807" s="27"/>
      <c r="S807" s="27"/>
      <c r="T807" s="27"/>
      <c r="U807" s="27"/>
      <c r="V807" s="27"/>
      <c r="W807" s="27"/>
    </row>
    <row r="808" spans="1:23" ht="15" customHeight="1" x14ac:dyDescent="0.2">
      <c r="A808" s="37"/>
      <c r="B808" s="37"/>
      <c r="C808" s="37"/>
      <c r="D808" s="37"/>
      <c r="E808" s="37"/>
      <c r="F808" s="37"/>
      <c r="G808" s="37"/>
      <c r="H808" s="37"/>
      <c r="I808" s="37"/>
      <c r="J808" s="37"/>
      <c r="K808" s="37"/>
      <c r="L808" s="37"/>
      <c r="M808" s="37"/>
      <c r="N808" s="37"/>
      <c r="O808" s="37"/>
      <c r="P808" s="37"/>
      <c r="Q808" s="27"/>
      <c r="R808" s="27"/>
      <c r="S808" s="27"/>
      <c r="T808" s="27"/>
      <c r="U808" s="27"/>
      <c r="V808" s="27"/>
      <c r="W808" s="27"/>
    </row>
    <row r="809" spans="1:23" ht="15" customHeight="1" x14ac:dyDescent="0.2">
      <c r="A809" s="37"/>
      <c r="B809" s="37"/>
      <c r="C809" s="37"/>
      <c r="D809" s="37"/>
      <c r="E809" s="37"/>
      <c r="F809" s="37"/>
      <c r="G809" s="37"/>
      <c r="H809" s="37"/>
      <c r="I809" s="37"/>
      <c r="J809" s="37"/>
      <c r="K809" s="37"/>
      <c r="L809" s="37"/>
      <c r="M809" s="37"/>
      <c r="N809" s="37"/>
      <c r="O809" s="37"/>
      <c r="P809" s="37"/>
      <c r="Q809" s="27"/>
      <c r="R809" s="27"/>
      <c r="S809" s="27"/>
      <c r="T809" s="27"/>
      <c r="U809" s="27"/>
      <c r="V809" s="27"/>
      <c r="W809" s="27"/>
    </row>
    <row r="810" spans="1:23" ht="15" customHeight="1" x14ac:dyDescent="0.2">
      <c r="A810" s="37"/>
      <c r="B810" s="37"/>
      <c r="C810" s="37"/>
      <c r="D810" s="37"/>
      <c r="E810" s="37"/>
      <c r="F810" s="37"/>
      <c r="G810" s="37"/>
      <c r="H810" s="37"/>
      <c r="I810" s="37"/>
      <c r="J810" s="37"/>
      <c r="K810" s="37"/>
      <c r="L810" s="37"/>
      <c r="M810" s="37"/>
      <c r="N810" s="37"/>
      <c r="O810" s="37"/>
      <c r="P810" s="37"/>
      <c r="Q810" s="27"/>
      <c r="R810" s="27"/>
      <c r="S810" s="27"/>
      <c r="T810" s="27"/>
      <c r="U810" s="27"/>
      <c r="V810" s="27"/>
      <c r="W810" s="27"/>
    </row>
    <row r="811" spans="1:23" ht="15" customHeight="1" x14ac:dyDescent="0.2">
      <c r="A811" s="37"/>
      <c r="B811" s="37"/>
      <c r="C811" s="37"/>
      <c r="D811" s="37"/>
      <c r="E811" s="37"/>
      <c r="F811" s="37"/>
      <c r="G811" s="37"/>
      <c r="H811" s="37"/>
      <c r="I811" s="37"/>
      <c r="J811" s="37"/>
      <c r="K811" s="37"/>
      <c r="L811" s="37"/>
      <c r="M811" s="37"/>
      <c r="N811" s="37"/>
      <c r="O811" s="37"/>
      <c r="P811" s="37"/>
      <c r="Q811" s="27"/>
      <c r="R811" s="27"/>
      <c r="S811" s="27"/>
      <c r="T811" s="27"/>
      <c r="U811" s="27"/>
      <c r="V811" s="27"/>
      <c r="W811" s="27"/>
    </row>
    <row r="812" spans="1:23" ht="15" customHeight="1" x14ac:dyDescent="0.2">
      <c r="A812" s="37"/>
      <c r="B812" s="37"/>
      <c r="C812" s="37"/>
      <c r="D812" s="37"/>
      <c r="E812" s="37"/>
      <c r="F812" s="37"/>
      <c r="G812" s="37"/>
      <c r="H812" s="37"/>
      <c r="I812" s="37"/>
      <c r="J812" s="37"/>
      <c r="K812" s="37"/>
      <c r="L812" s="37"/>
      <c r="M812" s="37"/>
      <c r="N812" s="37"/>
      <c r="O812" s="37"/>
      <c r="P812" s="37"/>
      <c r="Q812" s="27"/>
      <c r="R812" s="27"/>
      <c r="S812" s="27"/>
      <c r="T812" s="27"/>
      <c r="U812" s="27"/>
      <c r="V812" s="27"/>
      <c r="W812" s="27"/>
    </row>
    <row r="813" spans="1:23" ht="15" customHeight="1" x14ac:dyDescent="0.2">
      <c r="A813" s="37"/>
      <c r="B813" s="37"/>
      <c r="C813" s="37"/>
      <c r="D813" s="37"/>
      <c r="E813" s="37"/>
      <c r="F813" s="37"/>
      <c r="G813" s="37"/>
      <c r="H813" s="37"/>
      <c r="I813" s="37"/>
      <c r="J813" s="37"/>
      <c r="K813" s="37"/>
      <c r="L813" s="37"/>
      <c r="M813" s="37"/>
      <c r="N813" s="37"/>
      <c r="O813" s="37"/>
      <c r="P813" s="37"/>
      <c r="Q813" s="27"/>
      <c r="R813" s="27"/>
      <c r="S813" s="27"/>
      <c r="T813" s="27"/>
      <c r="U813" s="27"/>
      <c r="V813" s="27"/>
      <c r="W813" s="27"/>
    </row>
    <row r="814" spans="1:23" ht="15" customHeight="1" x14ac:dyDescent="0.2">
      <c r="A814" s="37"/>
      <c r="B814" s="37"/>
      <c r="C814" s="37"/>
      <c r="D814" s="37"/>
      <c r="E814" s="37"/>
      <c r="F814" s="37"/>
      <c r="G814" s="37"/>
      <c r="H814" s="37"/>
      <c r="I814" s="37"/>
      <c r="J814" s="37"/>
      <c r="K814" s="37"/>
      <c r="L814" s="37"/>
      <c r="M814" s="37"/>
      <c r="N814" s="37"/>
      <c r="O814" s="37"/>
      <c r="P814" s="37"/>
      <c r="Q814" s="27"/>
      <c r="R814" s="27"/>
      <c r="S814" s="27"/>
      <c r="T814" s="27"/>
      <c r="U814" s="27"/>
      <c r="V814" s="27"/>
      <c r="W814" s="27"/>
    </row>
    <row r="815" spans="1:23" ht="15" customHeight="1" x14ac:dyDescent="0.2">
      <c r="A815" s="37"/>
      <c r="B815" s="37"/>
      <c r="C815" s="37"/>
      <c r="D815" s="37"/>
      <c r="E815" s="37"/>
      <c r="F815" s="37"/>
      <c r="G815" s="37"/>
      <c r="H815" s="37"/>
      <c r="I815" s="37"/>
      <c r="J815" s="37"/>
      <c r="K815" s="37"/>
      <c r="L815" s="37"/>
      <c r="M815" s="37"/>
      <c r="N815" s="37"/>
      <c r="O815" s="37"/>
      <c r="P815" s="37"/>
      <c r="Q815" s="27"/>
      <c r="R815" s="27"/>
      <c r="S815" s="27"/>
      <c r="T815" s="27"/>
      <c r="U815" s="27"/>
      <c r="V815" s="27"/>
      <c r="W815" s="27"/>
    </row>
    <row r="816" spans="1:23" ht="15" customHeight="1" x14ac:dyDescent="0.2">
      <c r="A816" s="37"/>
      <c r="B816" s="37"/>
      <c r="C816" s="37"/>
      <c r="D816" s="37"/>
      <c r="E816" s="37"/>
      <c r="F816" s="37"/>
      <c r="G816" s="37"/>
      <c r="H816" s="37"/>
      <c r="I816" s="37"/>
      <c r="J816" s="37"/>
      <c r="K816" s="37"/>
      <c r="L816" s="37"/>
      <c r="M816" s="37"/>
      <c r="N816" s="37"/>
      <c r="O816" s="37"/>
      <c r="P816" s="37"/>
      <c r="Q816" s="27"/>
      <c r="R816" s="27"/>
      <c r="S816" s="27"/>
      <c r="T816" s="27"/>
      <c r="U816" s="27"/>
      <c r="V816" s="27"/>
      <c r="W816" s="27"/>
    </row>
    <row r="817" spans="1:23" ht="15" customHeight="1" x14ac:dyDescent="0.2">
      <c r="A817" s="37"/>
      <c r="B817" s="37"/>
      <c r="C817" s="37"/>
      <c r="D817" s="37"/>
      <c r="E817" s="37"/>
      <c r="F817" s="37"/>
      <c r="G817" s="37"/>
      <c r="H817" s="37"/>
      <c r="I817" s="37"/>
      <c r="J817" s="37"/>
      <c r="K817" s="37"/>
      <c r="L817" s="37"/>
      <c r="M817" s="37"/>
      <c r="N817" s="37"/>
      <c r="O817" s="37"/>
      <c r="P817" s="37"/>
      <c r="Q817" s="27"/>
      <c r="R817" s="27"/>
      <c r="S817" s="27"/>
      <c r="T817" s="27"/>
      <c r="U817" s="27"/>
      <c r="V817" s="27"/>
      <c r="W817" s="27"/>
    </row>
    <row r="818" spans="1:23" ht="15" customHeight="1" x14ac:dyDescent="0.2">
      <c r="A818" s="37"/>
      <c r="B818" s="37"/>
      <c r="C818" s="37"/>
      <c r="D818" s="37"/>
      <c r="E818" s="37"/>
      <c r="F818" s="37"/>
      <c r="G818" s="37"/>
      <c r="H818" s="37"/>
      <c r="I818" s="37"/>
      <c r="J818" s="37"/>
      <c r="K818" s="37"/>
      <c r="L818" s="37"/>
      <c r="M818" s="37"/>
      <c r="N818" s="37"/>
      <c r="O818" s="37"/>
      <c r="P818" s="37"/>
      <c r="Q818" s="27"/>
      <c r="R818" s="27"/>
      <c r="S818" s="27"/>
      <c r="T818" s="27"/>
      <c r="U818" s="27"/>
      <c r="V818" s="27"/>
      <c r="W818" s="27"/>
    </row>
    <row r="819" spans="1:23" ht="15" customHeight="1" x14ac:dyDescent="0.2">
      <c r="A819" s="37"/>
      <c r="B819" s="37"/>
      <c r="C819" s="37"/>
      <c r="D819" s="37"/>
      <c r="E819" s="37"/>
      <c r="F819" s="37"/>
      <c r="G819" s="37"/>
      <c r="H819" s="37"/>
      <c r="I819" s="37"/>
      <c r="J819" s="37"/>
      <c r="K819" s="37"/>
      <c r="L819" s="37"/>
      <c r="M819" s="37"/>
      <c r="N819" s="37"/>
      <c r="O819" s="37"/>
      <c r="P819" s="37"/>
      <c r="Q819" s="27"/>
      <c r="R819" s="27"/>
      <c r="S819" s="27"/>
      <c r="T819" s="27"/>
      <c r="U819" s="27"/>
      <c r="V819" s="27"/>
      <c r="W819" s="27"/>
    </row>
    <row r="820" spans="1:23" ht="15" customHeight="1" x14ac:dyDescent="0.2">
      <c r="A820" s="37"/>
      <c r="B820" s="37"/>
      <c r="C820" s="37"/>
      <c r="D820" s="37"/>
      <c r="E820" s="37"/>
      <c r="F820" s="37"/>
      <c r="G820" s="37"/>
      <c r="H820" s="37"/>
      <c r="I820" s="37"/>
      <c r="J820" s="37"/>
      <c r="K820" s="37"/>
      <c r="L820" s="37"/>
      <c r="M820" s="37"/>
      <c r="N820" s="37"/>
      <c r="O820" s="37"/>
      <c r="P820" s="37"/>
      <c r="Q820" s="27"/>
      <c r="R820" s="27"/>
      <c r="S820" s="27"/>
      <c r="T820" s="27"/>
      <c r="U820" s="27"/>
      <c r="V820" s="27"/>
      <c r="W820" s="27"/>
    </row>
    <row r="821" spans="1:23" ht="15" customHeight="1" x14ac:dyDescent="0.2">
      <c r="A821" s="37"/>
      <c r="B821" s="37"/>
      <c r="C821" s="37"/>
      <c r="D821" s="37"/>
      <c r="E821" s="37"/>
      <c r="F821" s="37"/>
      <c r="G821" s="37"/>
      <c r="H821" s="37"/>
      <c r="I821" s="37"/>
      <c r="J821" s="37"/>
      <c r="K821" s="37"/>
      <c r="L821" s="37"/>
      <c r="M821" s="37"/>
      <c r="N821" s="37"/>
      <c r="O821" s="37"/>
      <c r="P821" s="37"/>
      <c r="Q821" s="27"/>
      <c r="R821" s="27"/>
      <c r="S821" s="27"/>
      <c r="T821" s="27"/>
      <c r="U821" s="27"/>
      <c r="V821" s="27"/>
      <c r="W821" s="27"/>
    </row>
    <row r="822" spans="1:23" ht="15" customHeight="1" x14ac:dyDescent="0.2">
      <c r="A822" s="37"/>
      <c r="B822" s="37"/>
      <c r="C822" s="37"/>
      <c r="D822" s="37"/>
      <c r="E822" s="37"/>
      <c r="F822" s="37"/>
      <c r="G822" s="37"/>
      <c r="H822" s="37"/>
      <c r="I822" s="37"/>
      <c r="J822" s="37"/>
      <c r="K822" s="37"/>
      <c r="L822" s="37"/>
      <c r="M822" s="37"/>
      <c r="N822" s="37"/>
      <c r="O822" s="37"/>
      <c r="P822" s="37"/>
      <c r="Q822" s="27"/>
      <c r="R822" s="27"/>
      <c r="S822" s="27"/>
      <c r="T822" s="27"/>
      <c r="U822" s="27"/>
      <c r="V822" s="27"/>
      <c r="W822" s="27"/>
    </row>
    <row r="823" spans="1:23" ht="15" customHeight="1" x14ac:dyDescent="0.2">
      <c r="A823" s="37"/>
      <c r="B823" s="37"/>
      <c r="C823" s="37"/>
      <c r="D823" s="37"/>
      <c r="E823" s="37"/>
      <c r="F823" s="37"/>
      <c r="G823" s="37"/>
      <c r="H823" s="37"/>
      <c r="I823" s="37"/>
      <c r="J823" s="37"/>
      <c r="K823" s="37"/>
      <c r="L823" s="37"/>
      <c r="M823" s="37"/>
      <c r="N823" s="37"/>
      <c r="O823" s="37"/>
      <c r="P823" s="37"/>
      <c r="Q823" s="27"/>
      <c r="R823" s="27"/>
      <c r="S823" s="27"/>
      <c r="T823" s="27"/>
      <c r="U823" s="27"/>
      <c r="V823" s="27"/>
      <c r="W823" s="27"/>
    </row>
    <row r="824" spans="1:23" ht="15" customHeight="1" x14ac:dyDescent="0.2">
      <c r="A824" s="37"/>
      <c r="B824" s="37"/>
      <c r="C824" s="37"/>
      <c r="D824" s="37"/>
      <c r="E824" s="37"/>
      <c r="F824" s="37"/>
      <c r="G824" s="37"/>
      <c r="H824" s="37"/>
      <c r="I824" s="37"/>
      <c r="J824" s="37"/>
      <c r="K824" s="37"/>
      <c r="L824" s="37"/>
      <c r="M824" s="37"/>
      <c r="N824" s="37"/>
      <c r="O824" s="37"/>
      <c r="P824" s="37"/>
      <c r="Q824" s="27"/>
      <c r="R824" s="27"/>
      <c r="S824" s="27"/>
      <c r="T824" s="27"/>
      <c r="U824" s="27"/>
      <c r="V824" s="27"/>
      <c r="W824" s="27"/>
    </row>
    <row r="825" spans="1:23" ht="15" customHeight="1" x14ac:dyDescent="0.2">
      <c r="A825" s="37"/>
      <c r="B825" s="37"/>
      <c r="C825" s="37"/>
      <c r="D825" s="37"/>
      <c r="E825" s="37"/>
      <c r="F825" s="37"/>
      <c r="G825" s="37"/>
      <c r="H825" s="37"/>
      <c r="I825" s="37"/>
      <c r="J825" s="37"/>
      <c r="K825" s="37"/>
      <c r="L825" s="37"/>
      <c r="M825" s="37"/>
      <c r="N825" s="37"/>
      <c r="O825" s="37"/>
      <c r="P825" s="37"/>
      <c r="Q825" s="27"/>
      <c r="R825" s="27"/>
      <c r="S825" s="27"/>
      <c r="T825" s="27"/>
      <c r="U825" s="27"/>
      <c r="V825" s="27"/>
      <c r="W825" s="27"/>
    </row>
    <row r="826" spans="1:23" ht="15" customHeight="1" x14ac:dyDescent="0.2">
      <c r="A826" s="37"/>
      <c r="B826" s="37"/>
      <c r="C826" s="37"/>
      <c r="D826" s="37"/>
      <c r="E826" s="37"/>
      <c r="F826" s="37"/>
      <c r="G826" s="37"/>
      <c r="H826" s="37"/>
      <c r="I826" s="37"/>
      <c r="J826" s="37"/>
      <c r="K826" s="37"/>
      <c r="L826" s="37"/>
      <c r="M826" s="37"/>
      <c r="N826" s="37"/>
      <c r="O826" s="37"/>
      <c r="P826" s="37"/>
      <c r="Q826" s="27"/>
      <c r="R826" s="27"/>
      <c r="S826" s="27"/>
      <c r="T826" s="27"/>
      <c r="U826" s="27"/>
      <c r="V826" s="27"/>
      <c r="W826" s="27"/>
    </row>
    <row r="827" spans="1:23" ht="15" customHeight="1" x14ac:dyDescent="0.2">
      <c r="A827" s="37"/>
      <c r="B827" s="37"/>
      <c r="C827" s="37"/>
      <c r="D827" s="37"/>
      <c r="E827" s="37"/>
      <c r="F827" s="37"/>
      <c r="G827" s="37"/>
      <c r="H827" s="37"/>
      <c r="I827" s="37"/>
      <c r="J827" s="37"/>
      <c r="K827" s="37"/>
      <c r="L827" s="37"/>
      <c r="M827" s="37"/>
      <c r="N827" s="37"/>
      <c r="O827" s="37"/>
      <c r="P827" s="37"/>
      <c r="Q827" s="27"/>
      <c r="R827" s="27"/>
      <c r="S827" s="27"/>
      <c r="T827" s="27"/>
      <c r="U827" s="27"/>
      <c r="V827" s="27"/>
      <c r="W827" s="27"/>
    </row>
    <row r="828" spans="1:23" ht="15" customHeight="1" x14ac:dyDescent="0.2">
      <c r="A828" s="37"/>
      <c r="B828" s="37"/>
      <c r="C828" s="37"/>
      <c r="D828" s="37"/>
      <c r="E828" s="37"/>
      <c r="F828" s="37"/>
      <c r="G828" s="37"/>
      <c r="H828" s="37"/>
      <c r="I828" s="37"/>
      <c r="J828" s="37"/>
      <c r="K828" s="37"/>
      <c r="L828" s="37"/>
      <c r="M828" s="37"/>
      <c r="N828" s="37"/>
      <c r="O828" s="37"/>
      <c r="P828" s="37"/>
      <c r="Q828" s="27"/>
      <c r="R828" s="27"/>
      <c r="S828" s="27"/>
      <c r="T828" s="27"/>
      <c r="U828" s="27"/>
      <c r="V828" s="27"/>
      <c r="W828" s="27"/>
    </row>
    <row r="829" spans="1:23" ht="15" customHeight="1" x14ac:dyDescent="0.2">
      <c r="A829" s="37"/>
      <c r="B829" s="37"/>
      <c r="C829" s="37"/>
      <c r="D829" s="37"/>
      <c r="E829" s="37"/>
      <c r="F829" s="37"/>
      <c r="G829" s="37"/>
      <c r="H829" s="37"/>
      <c r="I829" s="37"/>
      <c r="J829" s="37"/>
      <c r="K829" s="37"/>
      <c r="L829" s="37"/>
      <c r="M829" s="37"/>
      <c r="N829" s="37"/>
      <c r="O829" s="37"/>
      <c r="P829" s="37"/>
      <c r="Q829" s="27"/>
      <c r="R829" s="27"/>
      <c r="S829" s="27"/>
      <c r="T829" s="27"/>
      <c r="U829" s="27"/>
      <c r="V829" s="27"/>
      <c r="W829" s="27"/>
    </row>
    <row r="830" spans="1:23" ht="15" customHeight="1" x14ac:dyDescent="0.2">
      <c r="A830" s="37"/>
      <c r="B830" s="37"/>
      <c r="C830" s="37"/>
      <c r="D830" s="37"/>
      <c r="E830" s="37"/>
      <c r="F830" s="37"/>
      <c r="G830" s="37"/>
      <c r="H830" s="37"/>
      <c r="I830" s="37"/>
      <c r="J830" s="37"/>
      <c r="K830" s="37"/>
      <c r="L830" s="37"/>
      <c r="M830" s="37"/>
      <c r="N830" s="37"/>
      <c r="O830" s="37"/>
      <c r="P830" s="37"/>
      <c r="Q830" s="27"/>
      <c r="R830" s="27"/>
      <c r="S830" s="27"/>
      <c r="T830" s="27"/>
      <c r="U830" s="27"/>
      <c r="V830" s="27"/>
      <c r="W830" s="27"/>
    </row>
    <row r="831" spans="1:23" ht="15" customHeight="1" x14ac:dyDescent="0.2">
      <c r="A831" s="37"/>
      <c r="B831" s="37"/>
      <c r="C831" s="37"/>
      <c r="D831" s="37"/>
      <c r="E831" s="37"/>
      <c r="F831" s="37"/>
      <c r="G831" s="37"/>
      <c r="H831" s="37"/>
      <c r="I831" s="37"/>
      <c r="J831" s="37"/>
      <c r="K831" s="37"/>
      <c r="L831" s="37"/>
      <c r="M831" s="37"/>
      <c r="N831" s="37"/>
      <c r="O831" s="37"/>
      <c r="P831" s="37"/>
      <c r="Q831" s="27"/>
      <c r="R831" s="27"/>
      <c r="S831" s="27"/>
      <c r="T831" s="27"/>
      <c r="U831" s="27"/>
      <c r="V831" s="27"/>
      <c r="W831" s="27"/>
    </row>
    <row r="832" spans="1:23" ht="15" customHeight="1" x14ac:dyDescent="0.2">
      <c r="A832" s="37"/>
      <c r="B832" s="37"/>
      <c r="C832" s="37"/>
      <c r="D832" s="37"/>
      <c r="E832" s="37"/>
      <c r="F832" s="37"/>
      <c r="G832" s="37"/>
      <c r="H832" s="37"/>
      <c r="I832" s="37"/>
      <c r="J832" s="37"/>
      <c r="K832" s="37"/>
      <c r="L832" s="37"/>
      <c r="M832" s="37"/>
      <c r="N832" s="37"/>
      <c r="O832" s="37"/>
      <c r="P832" s="37"/>
      <c r="Q832" s="27"/>
      <c r="R832" s="27"/>
      <c r="S832" s="27"/>
      <c r="T832" s="27"/>
      <c r="U832" s="27"/>
      <c r="V832" s="27"/>
      <c r="W832" s="27"/>
    </row>
    <row r="833" spans="1:23" ht="15" customHeight="1" x14ac:dyDescent="0.2">
      <c r="A833" s="37"/>
      <c r="B833" s="37"/>
      <c r="C833" s="37"/>
      <c r="D833" s="37"/>
      <c r="E833" s="37"/>
      <c r="F833" s="37"/>
      <c r="G833" s="37"/>
      <c r="H833" s="37"/>
      <c r="I833" s="37"/>
      <c r="J833" s="37"/>
      <c r="K833" s="37"/>
      <c r="L833" s="37"/>
      <c r="M833" s="37"/>
      <c r="N833" s="37"/>
      <c r="O833" s="37"/>
      <c r="P833" s="37"/>
      <c r="Q833" s="27"/>
      <c r="R833" s="27"/>
      <c r="S833" s="27"/>
      <c r="T833" s="27"/>
      <c r="U833" s="27"/>
      <c r="V833" s="27"/>
      <c r="W833" s="27"/>
    </row>
    <row r="834" spans="1:23" ht="15" customHeight="1" x14ac:dyDescent="0.2">
      <c r="A834" s="37"/>
      <c r="B834" s="37"/>
      <c r="C834" s="37"/>
      <c r="D834" s="37"/>
      <c r="E834" s="37"/>
      <c r="F834" s="37"/>
      <c r="G834" s="37"/>
      <c r="H834" s="37"/>
      <c r="I834" s="37"/>
      <c r="J834" s="37"/>
      <c r="K834" s="37"/>
      <c r="L834" s="37"/>
      <c r="M834" s="37"/>
      <c r="N834" s="37"/>
      <c r="O834" s="37"/>
      <c r="P834" s="37"/>
      <c r="Q834" s="27"/>
      <c r="R834" s="27"/>
      <c r="S834" s="27"/>
      <c r="T834" s="27"/>
      <c r="U834" s="27"/>
      <c r="V834" s="27"/>
      <c r="W834" s="27"/>
    </row>
    <row r="835" spans="1:23" ht="15" customHeight="1" x14ac:dyDescent="0.2">
      <c r="A835" s="37"/>
      <c r="B835" s="37"/>
      <c r="C835" s="37"/>
      <c r="D835" s="37"/>
      <c r="E835" s="37"/>
      <c r="F835" s="37"/>
      <c r="G835" s="37"/>
      <c r="H835" s="37"/>
      <c r="I835" s="37"/>
      <c r="J835" s="37"/>
      <c r="K835" s="37"/>
      <c r="L835" s="37"/>
      <c r="M835" s="37"/>
      <c r="N835" s="37"/>
      <c r="O835" s="37"/>
      <c r="P835" s="37"/>
      <c r="Q835" s="27"/>
      <c r="R835" s="27"/>
      <c r="S835" s="27"/>
      <c r="T835" s="27"/>
      <c r="U835" s="27"/>
      <c r="V835" s="27"/>
      <c r="W835" s="27"/>
    </row>
    <row r="836" spans="1:23" ht="15" customHeight="1" x14ac:dyDescent="0.2">
      <c r="A836" s="37"/>
      <c r="B836" s="37"/>
      <c r="C836" s="37"/>
      <c r="D836" s="37"/>
      <c r="E836" s="37"/>
      <c r="F836" s="37"/>
      <c r="G836" s="37"/>
      <c r="H836" s="37"/>
      <c r="I836" s="37"/>
      <c r="J836" s="37"/>
      <c r="K836" s="37"/>
      <c r="L836" s="37"/>
      <c r="M836" s="37"/>
      <c r="N836" s="37"/>
      <c r="O836" s="37"/>
      <c r="P836" s="37"/>
      <c r="Q836" s="27"/>
      <c r="R836" s="27"/>
      <c r="S836" s="27"/>
      <c r="T836" s="27"/>
      <c r="U836" s="27"/>
      <c r="V836" s="27"/>
      <c r="W836" s="27"/>
    </row>
    <row r="837" spans="1:23" ht="15" customHeight="1" x14ac:dyDescent="0.2">
      <c r="A837" s="37"/>
      <c r="B837" s="37"/>
      <c r="C837" s="37"/>
      <c r="D837" s="37"/>
      <c r="E837" s="37"/>
      <c r="F837" s="37"/>
      <c r="G837" s="37"/>
      <c r="H837" s="37"/>
      <c r="I837" s="37"/>
      <c r="J837" s="37"/>
      <c r="K837" s="37"/>
      <c r="L837" s="37"/>
      <c r="M837" s="37"/>
      <c r="N837" s="37"/>
      <c r="O837" s="37"/>
      <c r="P837" s="37"/>
      <c r="Q837" s="27"/>
      <c r="R837" s="27"/>
      <c r="S837" s="27"/>
      <c r="T837" s="27"/>
      <c r="U837" s="27"/>
      <c r="V837" s="27"/>
      <c r="W837" s="27"/>
    </row>
    <row r="838" spans="1:23" ht="15" customHeight="1" x14ac:dyDescent="0.2">
      <c r="A838" s="37"/>
      <c r="B838" s="37"/>
      <c r="C838" s="37"/>
      <c r="D838" s="37"/>
      <c r="E838" s="37"/>
      <c r="F838" s="37"/>
      <c r="G838" s="37"/>
      <c r="H838" s="37"/>
      <c r="I838" s="37"/>
      <c r="J838" s="37"/>
      <c r="K838" s="37"/>
      <c r="L838" s="37"/>
      <c r="M838" s="37"/>
      <c r="N838" s="37"/>
      <c r="O838" s="37"/>
      <c r="P838" s="37"/>
      <c r="Q838" s="27"/>
      <c r="R838" s="27"/>
      <c r="S838" s="27"/>
      <c r="T838" s="27"/>
      <c r="U838" s="27"/>
      <c r="V838" s="27"/>
      <c r="W838" s="27"/>
    </row>
    <row r="839" spans="1:23" ht="15" customHeight="1" x14ac:dyDescent="0.2">
      <c r="A839" s="37"/>
      <c r="B839" s="37"/>
      <c r="C839" s="37"/>
      <c r="D839" s="37"/>
      <c r="E839" s="37"/>
      <c r="F839" s="37"/>
      <c r="G839" s="37"/>
      <c r="H839" s="37"/>
      <c r="I839" s="37"/>
      <c r="J839" s="37"/>
      <c r="K839" s="37"/>
      <c r="L839" s="37"/>
      <c r="M839" s="37"/>
      <c r="N839" s="37"/>
      <c r="O839" s="37"/>
      <c r="P839" s="37"/>
      <c r="Q839" s="27"/>
      <c r="R839" s="27"/>
      <c r="S839" s="27"/>
      <c r="T839" s="27"/>
      <c r="U839" s="27"/>
      <c r="V839" s="27"/>
      <c r="W839" s="27"/>
    </row>
    <row r="840" spans="1:23" ht="15" customHeight="1" x14ac:dyDescent="0.2">
      <c r="A840" s="37"/>
      <c r="B840" s="37"/>
      <c r="C840" s="37"/>
      <c r="D840" s="37"/>
      <c r="E840" s="37"/>
      <c r="F840" s="37"/>
      <c r="G840" s="37"/>
      <c r="H840" s="37"/>
      <c r="I840" s="37"/>
      <c r="J840" s="37"/>
      <c r="K840" s="37"/>
      <c r="L840" s="37"/>
      <c r="M840" s="37"/>
      <c r="N840" s="37"/>
      <c r="O840" s="37"/>
      <c r="P840" s="37"/>
      <c r="Q840" s="27"/>
      <c r="R840" s="27"/>
      <c r="S840" s="27"/>
      <c r="T840" s="27"/>
      <c r="U840" s="27"/>
      <c r="V840" s="27"/>
      <c r="W840" s="27"/>
    </row>
    <row r="841" spans="1:23" ht="15" customHeight="1" x14ac:dyDescent="0.2">
      <c r="A841" s="37"/>
      <c r="B841" s="37"/>
      <c r="C841" s="37"/>
      <c r="D841" s="37"/>
      <c r="E841" s="37"/>
      <c r="F841" s="37"/>
      <c r="G841" s="37"/>
      <c r="H841" s="37"/>
      <c r="I841" s="37"/>
      <c r="J841" s="37"/>
      <c r="K841" s="37"/>
      <c r="L841" s="37"/>
      <c r="M841" s="37"/>
      <c r="N841" s="37"/>
      <c r="O841" s="37"/>
      <c r="P841" s="37"/>
      <c r="Q841" s="27"/>
      <c r="R841" s="27"/>
      <c r="S841" s="27"/>
      <c r="T841" s="27"/>
      <c r="U841" s="27"/>
      <c r="V841" s="27"/>
      <c r="W841" s="27"/>
    </row>
    <row r="842" spans="1:23" ht="15" customHeight="1" x14ac:dyDescent="0.2">
      <c r="A842" s="37"/>
      <c r="B842" s="37"/>
      <c r="C842" s="37"/>
      <c r="D842" s="37"/>
      <c r="E842" s="37"/>
      <c r="F842" s="37"/>
      <c r="G842" s="37"/>
      <c r="H842" s="37"/>
      <c r="I842" s="37"/>
      <c r="J842" s="37"/>
      <c r="K842" s="37"/>
      <c r="L842" s="37"/>
      <c r="M842" s="37"/>
      <c r="N842" s="37"/>
      <c r="O842" s="37"/>
      <c r="P842" s="37"/>
      <c r="Q842" s="27"/>
      <c r="R842" s="27"/>
      <c r="S842" s="27"/>
      <c r="T842" s="27"/>
      <c r="U842" s="27"/>
      <c r="V842" s="27"/>
      <c r="W842" s="27"/>
    </row>
    <row r="843" spans="1:23" ht="15" customHeight="1" x14ac:dyDescent="0.2">
      <c r="A843" s="37"/>
      <c r="B843" s="37"/>
      <c r="C843" s="37"/>
      <c r="D843" s="37"/>
      <c r="E843" s="37"/>
      <c r="F843" s="37"/>
      <c r="G843" s="37"/>
      <c r="H843" s="37"/>
      <c r="I843" s="37"/>
      <c r="J843" s="37"/>
      <c r="K843" s="37"/>
      <c r="L843" s="37"/>
      <c r="M843" s="37"/>
      <c r="N843" s="37"/>
      <c r="O843" s="37"/>
      <c r="P843" s="37"/>
      <c r="Q843" s="27"/>
      <c r="R843" s="27"/>
      <c r="S843" s="27"/>
      <c r="T843" s="27"/>
      <c r="U843" s="27"/>
      <c r="V843" s="27"/>
      <c r="W843" s="27"/>
    </row>
    <row r="844" spans="1:23" ht="15" customHeight="1" x14ac:dyDescent="0.2">
      <c r="A844" s="37"/>
      <c r="B844" s="37"/>
      <c r="C844" s="37"/>
      <c r="D844" s="37"/>
      <c r="E844" s="37"/>
      <c r="F844" s="37"/>
      <c r="G844" s="37"/>
      <c r="H844" s="37"/>
      <c r="I844" s="37"/>
      <c r="J844" s="37"/>
      <c r="K844" s="37"/>
      <c r="L844" s="37"/>
      <c r="M844" s="37"/>
      <c r="N844" s="37"/>
      <c r="O844" s="37"/>
      <c r="P844" s="37"/>
      <c r="Q844" s="27"/>
      <c r="R844" s="27"/>
      <c r="S844" s="27"/>
      <c r="T844" s="27"/>
      <c r="U844" s="27"/>
      <c r="V844" s="27"/>
      <c r="W844" s="27"/>
    </row>
    <row r="845" spans="1:23" ht="15" customHeight="1" x14ac:dyDescent="0.2">
      <c r="A845" s="37"/>
      <c r="B845" s="37"/>
      <c r="C845" s="37"/>
      <c r="D845" s="37"/>
      <c r="E845" s="37"/>
      <c r="F845" s="37"/>
      <c r="G845" s="37"/>
      <c r="H845" s="37"/>
      <c r="I845" s="37"/>
      <c r="J845" s="37"/>
      <c r="K845" s="37"/>
      <c r="L845" s="37"/>
      <c r="M845" s="37"/>
      <c r="N845" s="37"/>
      <c r="O845" s="37"/>
      <c r="P845" s="37"/>
      <c r="Q845" s="27"/>
      <c r="R845" s="27"/>
      <c r="S845" s="27"/>
      <c r="T845" s="27"/>
      <c r="U845" s="27"/>
      <c r="V845" s="27"/>
      <c r="W845" s="27"/>
    </row>
    <row r="846" spans="1:23" ht="15" customHeight="1" x14ac:dyDescent="0.2">
      <c r="A846" s="37"/>
      <c r="B846" s="37"/>
      <c r="C846" s="37"/>
      <c r="D846" s="37"/>
      <c r="E846" s="37"/>
      <c r="F846" s="37"/>
      <c r="G846" s="37"/>
      <c r="H846" s="37"/>
      <c r="I846" s="37"/>
      <c r="J846" s="37"/>
      <c r="K846" s="37"/>
      <c r="L846" s="37"/>
      <c r="M846" s="37"/>
      <c r="N846" s="37"/>
      <c r="O846" s="37"/>
      <c r="P846" s="37"/>
      <c r="Q846" s="27"/>
      <c r="R846" s="27"/>
      <c r="S846" s="27"/>
      <c r="T846" s="27"/>
      <c r="U846" s="27"/>
      <c r="V846" s="27"/>
      <c r="W846" s="27"/>
    </row>
    <row r="847" spans="1:23" ht="15" customHeight="1" x14ac:dyDescent="0.2">
      <c r="A847" s="37"/>
      <c r="B847" s="37"/>
      <c r="C847" s="37"/>
      <c r="D847" s="37"/>
      <c r="E847" s="37"/>
      <c r="F847" s="37"/>
      <c r="G847" s="37"/>
      <c r="H847" s="37"/>
      <c r="I847" s="37"/>
      <c r="J847" s="37"/>
      <c r="K847" s="37"/>
      <c r="L847" s="37"/>
      <c r="M847" s="37"/>
      <c r="N847" s="37"/>
      <c r="O847" s="37"/>
      <c r="P847" s="37"/>
      <c r="Q847" s="27"/>
      <c r="R847" s="27"/>
      <c r="S847" s="27"/>
      <c r="T847" s="27"/>
      <c r="U847" s="27"/>
      <c r="V847" s="27"/>
      <c r="W847" s="27"/>
    </row>
    <row r="848" spans="1:23" ht="15" customHeight="1" x14ac:dyDescent="0.2">
      <c r="A848" s="37"/>
      <c r="B848" s="37"/>
      <c r="C848" s="37"/>
      <c r="D848" s="37"/>
      <c r="E848" s="37"/>
      <c r="F848" s="37"/>
      <c r="G848" s="37"/>
      <c r="H848" s="37"/>
      <c r="I848" s="37"/>
      <c r="J848" s="37"/>
      <c r="K848" s="37"/>
      <c r="L848" s="37"/>
      <c r="M848" s="37"/>
      <c r="N848" s="37"/>
      <c r="O848" s="37"/>
      <c r="P848" s="37"/>
      <c r="Q848" s="27"/>
      <c r="R848" s="27"/>
      <c r="S848" s="27"/>
      <c r="T848" s="27"/>
      <c r="U848" s="27"/>
      <c r="V848" s="27"/>
      <c r="W848" s="27"/>
    </row>
    <row r="849" spans="1:23" ht="15" customHeight="1" x14ac:dyDescent="0.2">
      <c r="A849" s="37"/>
      <c r="B849" s="37"/>
      <c r="C849" s="37"/>
      <c r="D849" s="37"/>
      <c r="E849" s="37"/>
      <c r="F849" s="37"/>
      <c r="G849" s="37"/>
      <c r="H849" s="37"/>
      <c r="I849" s="37"/>
      <c r="J849" s="37"/>
      <c r="K849" s="37"/>
      <c r="L849" s="37"/>
      <c r="M849" s="37"/>
      <c r="N849" s="37"/>
      <c r="O849" s="37"/>
      <c r="P849" s="37"/>
      <c r="Q849" s="27"/>
      <c r="R849" s="27"/>
      <c r="S849" s="27"/>
      <c r="T849" s="27"/>
      <c r="U849" s="27"/>
      <c r="V849" s="27"/>
      <c r="W849" s="27"/>
    </row>
    <row r="850" spans="1:23" ht="15" customHeight="1" x14ac:dyDescent="0.2">
      <c r="A850" s="37"/>
      <c r="B850" s="37"/>
      <c r="C850" s="37"/>
      <c r="D850" s="37"/>
      <c r="E850" s="37"/>
      <c r="F850" s="37"/>
      <c r="G850" s="37"/>
      <c r="H850" s="37"/>
      <c r="I850" s="37"/>
      <c r="J850" s="37"/>
      <c r="K850" s="37"/>
      <c r="L850" s="37"/>
      <c r="M850" s="37"/>
      <c r="N850" s="37"/>
      <c r="O850" s="37"/>
      <c r="P850" s="37"/>
      <c r="Q850" s="27"/>
      <c r="R850" s="27"/>
      <c r="S850" s="27"/>
      <c r="T850" s="27"/>
      <c r="U850" s="27"/>
      <c r="V850" s="27"/>
      <c r="W850" s="27"/>
    </row>
    <row r="851" spans="1:23" ht="15" customHeight="1" x14ac:dyDescent="0.2">
      <c r="A851" s="37"/>
      <c r="B851" s="37"/>
      <c r="C851" s="37"/>
      <c r="D851" s="37"/>
      <c r="E851" s="37"/>
      <c r="F851" s="37"/>
      <c r="G851" s="37"/>
      <c r="H851" s="37"/>
      <c r="I851" s="37"/>
      <c r="J851" s="37"/>
      <c r="K851" s="37"/>
      <c r="L851" s="37"/>
      <c r="M851" s="37"/>
      <c r="N851" s="37"/>
      <c r="O851" s="37"/>
      <c r="P851" s="37"/>
      <c r="Q851" s="27"/>
      <c r="R851" s="27"/>
      <c r="S851" s="27"/>
      <c r="T851" s="27"/>
      <c r="U851" s="27"/>
      <c r="V851" s="27"/>
      <c r="W851" s="27"/>
    </row>
    <row r="852" spans="1:23" ht="15" customHeight="1" x14ac:dyDescent="0.2">
      <c r="A852" s="37"/>
      <c r="B852" s="37"/>
      <c r="C852" s="37"/>
      <c r="D852" s="37"/>
      <c r="E852" s="37"/>
      <c r="F852" s="37"/>
      <c r="G852" s="37"/>
      <c r="H852" s="37"/>
      <c r="I852" s="37"/>
      <c r="J852" s="37"/>
      <c r="K852" s="37"/>
      <c r="L852" s="37"/>
      <c r="M852" s="37"/>
      <c r="N852" s="37"/>
      <c r="O852" s="37"/>
      <c r="P852" s="37"/>
      <c r="Q852" s="27"/>
      <c r="R852" s="27"/>
      <c r="S852" s="27"/>
      <c r="T852" s="27"/>
      <c r="U852" s="27"/>
      <c r="V852" s="27"/>
      <c r="W852" s="27"/>
    </row>
    <row r="853" spans="1:23" ht="15" customHeight="1" x14ac:dyDescent="0.2">
      <c r="A853" s="37"/>
      <c r="B853" s="37"/>
      <c r="C853" s="37"/>
      <c r="D853" s="37"/>
      <c r="E853" s="37"/>
      <c r="F853" s="37"/>
      <c r="G853" s="37"/>
      <c r="H853" s="37"/>
      <c r="I853" s="37"/>
      <c r="J853" s="37"/>
      <c r="K853" s="37"/>
      <c r="L853" s="37"/>
      <c r="M853" s="37"/>
      <c r="N853" s="37"/>
      <c r="O853" s="37"/>
      <c r="P853" s="37"/>
      <c r="Q853" s="27"/>
      <c r="R853" s="27"/>
      <c r="S853" s="27"/>
      <c r="T853" s="27"/>
      <c r="U853" s="27"/>
      <c r="V853" s="27"/>
      <c r="W853" s="27"/>
    </row>
    <row r="854" spans="1:23" ht="15" customHeight="1" x14ac:dyDescent="0.2">
      <c r="A854" s="37"/>
      <c r="B854" s="37"/>
      <c r="C854" s="37"/>
      <c r="D854" s="37"/>
      <c r="E854" s="37"/>
      <c r="F854" s="37"/>
      <c r="G854" s="37"/>
      <c r="H854" s="37"/>
      <c r="I854" s="37"/>
      <c r="J854" s="37"/>
      <c r="K854" s="37"/>
      <c r="L854" s="37"/>
      <c r="M854" s="37"/>
      <c r="N854" s="37"/>
      <c r="O854" s="37"/>
      <c r="P854" s="37"/>
      <c r="Q854" s="27"/>
      <c r="R854" s="27"/>
      <c r="S854" s="27"/>
      <c r="T854" s="27"/>
      <c r="U854" s="27"/>
      <c r="V854" s="27"/>
      <c r="W854" s="27"/>
    </row>
    <row r="855" spans="1:23" ht="15" customHeight="1" x14ac:dyDescent="0.2">
      <c r="A855" s="37"/>
      <c r="B855" s="37"/>
      <c r="C855" s="37"/>
      <c r="D855" s="37"/>
      <c r="E855" s="37"/>
      <c r="F855" s="37"/>
      <c r="G855" s="37"/>
      <c r="H855" s="37"/>
      <c r="I855" s="37"/>
      <c r="J855" s="37"/>
      <c r="K855" s="37"/>
      <c r="L855" s="37"/>
      <c r="M855" s="37"/>
      <c r="N855" s="37"/>
      <c r="O855" s="37"/>
      <c r="P855" s="37"/>
      <c r="Q855" s="27"/>
      <c r="R855" s="27"/>
      <c r="S855" s="27"/>
      <c r="T855" s="27"/>
      <c r="U855" s="27"/>
      <c r="V855" s="27"/>
      <c r="W855" s="27"/>
    </row>
    <row r="856" spans="1:23" ht="15" customHeight="1" x14ac:dyDescent="0.2">
      <c r="A856" s="37"/>
      <c r="B856" s="37"/>
      <c r="C856" s="37"/>
      <c r="D856" s="37"/>
      <c r="E856" s="37"/>
      <c r="F856" s="37"/>
      <c r="G856" s="37"/>
      <c r="H856" s="37"/>
      <c r="I856" s="37"/>
      <c r="J856" s="37"/>
      <c r="K856" s="37"/>
      <c r="L856" s="37"/>
      <c r="M856" s="37"/>
      <c r="N856" s="37"/>
      <c r="O856" s="37"/>
      <c r="P856" s="37"/>
      <c r="Q856" s="27"/>
      <c r="R856" s="27"/>
      <c r="S856" s="27"/>
      <c r="T856" s="27"/>
      <c r="U856" s="27"/>
      <c r="V856" s="27"/>
      <c r="W856" s="27"/>
    </row>
    <row r="857" spans="1:23" ht="15" customHeight="1" x14ac:dyDescent="0.2">
      <c r="A857" s="37"/>
      <c r="B857" s="37"/>
      <c r="C857" s="37"/>
      <c r="D857" s="37"/>
      <c r="E857" s="37"/>
      <c r="F857" s="37"/>
      <c r="G857" s="37"/>
      <c r="H857" s="37"/>
      <c r="I857" s="37"/>
      <c r="J857" s="37"/>
      <c r="K857" s="37"/>
      <c r="L857" s="37"/>
      <c r="M857" s="37"/>
      <c r="N857" s="37"/>
      <c r="O857" s="37"/>
      <c r="P857" s="37"/>
      <c r="Q857" s="27"/>
      <c r="R857" s="27"/>
      <c r="S857" s="27"/>
      <c r="T857" s="27"/>
      <c r="U857" s="27"/>
      <c r="V857" s="27"/>
      <c r="W857" s="27"/>
    </row>
    <row r="858" spans="1:23" ht="15" customHeight="1" x14ac:dyDescent="0.2">
      <c r="A858" s="37"/>
      <c r="B858" s="37"/>
      <c r="C858" s="37"/>
      <c r="D858" s="37"/>
      <c r="E858" s="37"/>
      <c r="F858" s="37"/>
      <c r="G858" s="37"/>
      <c r="H858" s="37"/>
      <c r="I858" s="37"/>
      <c r="J858" s="37"/>
      <c r="K858" s="37"/>
      <c r="L858" s="37"/>
      <c r="M858" s="37"/>
      <c r="N858" s="37"/>
      <c r="O858" s="37"/>
      <c r="P858" s="37"/>
      <c r="Q858" s="27"/>
      <c r="R858" s="27"/>
      <c r="S858" s="27"/>
      <c r="T858" s="27"/>
      <c r="U858" s="27"/>
      <c r="V858" s="27"/>
      <c r="W858" s="27"/>
    </row>
    <row r="859" spans="1:23" ht="15" customHeight="1" x14ac:dyDescent="0.2">
      <c r="A859" s="37"/>
      <c r="B859" s="37"/>
      <c r="C859" s="37"/>
      <c r="D859" s="37"/>
      <c r="E859" s="37"/>
      <c r="F859" s="37"/>
      <c r="G859" s="37"/>
      <c r="H859" s="37"/>
      <c r="I859" s="37"/>
      <c r="J859" s="37"/>
      <c r="K859" s="37"/>
      <c r="L859" s="37"/>
      <c r="M859" s="37"/>
      <c r="N859" s="37"/>
      <c r="O859" s="37"/>
      <c r="P859" s="37"/>
      <c r="Q859" s="27"/>
      <c r="R859" s="27"/>
      <c r="S859" s="27"/>
      <c r="T859" s="27"/>
      <c r="U859" s="27"/>
      <c r="V859" s="27"/>
      <c r="W859" s="27"/>
    </row>
    <row r="860" spans="1:23" ht="15" customHeight="1" x14ac:dyDescent="0.2">
      <c r="A860" s="37"/>
      <c r="B860" s="37"/>
      <c r="C860" s="37"/>
      <c r="D860" s="37"/>
      <c r="E860" s="37"/>
      <c r="F860" s="37"/>
      <c r="G860" s="37"/>
      <c r="H860" s="37"/>
      <c r="I860" s="37"/>
      <c r="J860" s="37"/>
      <c r="K860" s="37"/>
      <c r="L860" s="37"/>
      <c r="M860" s="37"/>
      <c r="N860" s="37"/>
      <c r="O860" s="37"/>
      <c r="P860" s="37"/>
      <c r="Q860" s="27"/>
      <c r="R860" s="27"/>
      <c r="S860" s="27"/>
      <c r="T860" s="27"/>
      <c r="U860" s="27"/>
      <c r="V860" s="27"/>
      <c r="W860" s="27"/>
    </row>
    <row r="861" spans="1:23" ht="15" customHeight="1" x14ac:dyDescent="0.2">
      <c r="A861" s="37"/>
      <c r="B861" s="37"/>
      <c r="C861" s="37"/>
      <c r="D861" s="37"/>
      <c r="E861" s="37"/>
      <c r="F861" s="37"/>
      <c r="G861" s="37"/>
      <c r="H861" s="37"/>
      <c r="I861" s="37"/>
      <c r="J861" s="37"/>
      <c r="K861" s="37"/>
      <c r="L861" s="37"/>
      <c r="M861" s="37"/>
      <c r="N861" s="37"/>
      <c r="O861" s="37"/>
      <c r="P861" s="37"/>
      <c r="Q861" s="27"/>
      <c r="R861" s="27"/>
      <c r="S861" s="27"/>
      <c r="T861" s="27"/>
      <c r="U861" s="27"/>
      <c r="V861" s="27"/>
      <c r="W861" s="27"/>
    </row>
    <row r="862" spans="1:23" ht="15" customHeight="1" x14ac:dyDescent="0.2">
      <c r="A862" s="37"/>
      <c r="B862" s="37"/>
      <c r="C862" s="37"/>
      <c r="D862" s="37"/>
      <c r="E862" s="37"/>
      <c r="F862" s="37"/>
      <c r="G862" s="37"/>
      <c r="H862" s="37"/>
      <c r="I862" s="37"/>
      <c r="J862" s="37"/>
      <c r="K862" s="37"/>
      <c r="L862" s="37"/>
      <c r="M862" s="37"/>
      <c r="N862" s="37"/>
      <c r="O862" s="37"/>
      <c r="P862" s="37"/>
      <c r="Q862" s="27"/>
      <c r="R862" s="27"/>
      <c r="S862" s="27"/>
      <c r="T862" s="27"/>
      <c r="U862" s="27"/>
      <c r="V862" s="27"/>
      <c r="W862" s="27"/>
    </row>
    <row r="863" spans="1:23" ht="15" customHeight="1" x14ac:dyDescent="0.2">
      <c r="A863" s="37"/>
      <c r="B863" s="37"/>
      <c r="C863" s="37"/>
      <c r="D863" s="37"/>
      <c r="E863" s="37"/>
      <c r="F863" s="37"/>
      <c r="G863" s="37"/>
      <c r="H863" s="37"/>
      <c r="I863" s="37"/>
      <c r="J863" s="37"/>
      <c r="K863" s="37"/>
      <c r="L863" s="37"/>
      <c r="M863" s="37"/>
      <c r="N863" s="37"/>
      <c r="O863" s="37"/>
      <c r="P863" s="37"/>
      <c r="Q863" s="27"/>
      <c r="R863" s="27"/>
      <c r="S863" s="27"/>
      <c r="T863" s="27"/>
      <c r="U863" s="27"/>
      <c r="V863" s="27"/>
      <c r="W863" s="27"/>
    </row>
    <row r="864" spans="1:23" ht="15" customHeight="1" x14ac:dyDescent="0.2">
      <c r="A864" s="37"/>
      <c r="B864" s="37"/>
      <c r="C864" s="37"/>
      <c r="D864" s="37"/>
      <c r="E864" s="37"/>
      <c r="F864" s="37"/>
      <c r="G864" s="37"/>
      <c r="H864" s="37"/>
      <c r="I864" s="37"/>
      <c r="J864" s="37"/>
      <c r="K864" s="37"/>
      <c r="L864" s="37"/>
      <c r="M864" s="37"/>
      <c r="N864" s="37"/>
      <c r="O864" s="37"/>
      <c r="P864" s="37"/>
      <c r="Q864" s="27"/>
      <c r="R864" s="27"/>
      <c r="S864" s="27"/>
      <c r="T864" s="27"/>
      <c r="U864" s="27"/>
      <c r="V864" s="27"/>
      <c r="W864" s="27"/>
    </row>
    <row r="865" spans="1:23" ht="15" customHeight="1" x14ac:dyDescent="0.2">
      <c r="A865" s="37"/>
      <c r="B865" s="37"/>
      <c r="C865" s="37"/>
      <c r="D865" s="37"/>
      <c r="E865" s="37"/>
      <c r="F865" s="37"/>
      <c r="G865" s="37"/>
      <c r="H865" s="37"/>
      <c r="I865" s="37"/>
      <c r="J865" s="37"/>
      <c r="K865" s="37"/>
      <c r="L865" s="37"/>
      <c r="M865" s="37"/>
      <c r="N865" s="37"/>
      <c r="O865" s="37"/>
      <c r="P865" s="37"/>
      <c r="Q865" s="27"/>
      <c r="R865" s="27"/>
      <c r="S865" s="27"/>
      <c r="T865" s="27"/>
      <c r="U865" s="27"/>
      <c r="V865" s="27"/>
      <c r="W865" s="27"/>
    </row>
    <row r="866" spans="1:23" ht="15" customHeight="1" x14ac:dyDescent="0.2">
      <c r="A866" s="37"/>
      <c r="B866" s="37"/>
      <c r="C866" s="37"/>
      <c r="D866" s="37"/>
      <c r="E866" s="37"/>
      <c r="F866" s="37"/>
      <c r="G866" s="37"/>
      <c r="H866" s="37"/>
      <c r="I866" s="37"/>
      <c r="J866" s="37"/>
      <c r="K866" s="37"/>
      <c r="L866" s="37"/>
      <c r="M866" s="37"/>
      <c r="N866" s="37"/>
      <c r="O866" s="37"/>
      <c r="P866" s="37"/>
      <c r="Q866" s="27"/>
      <c r="R866" s="27"/>
      <c r="S866" s="27"/>
      <c r="T866" s="27"/>
      <c r="U866" s="27"/>
      <c r="V866" s="27"/>
      <c r="W866" s="27"/>
    </row>
    <row r="867" spans="1:23" ht="15" customHeight="1" x14ac:dyDescent="0.2">
      <c r="A867" s="37"/>
      <c r="B867" s="37"/>
      <c r="C867" s="37"/>
      <c r="D867" s="37"/>
      <c r="E867" s="37"/>
      <c r="F867" s="37"/>
      <c r="G867" s="37"/>
      <c r="H867" s="37"/>
      <c r="I867" s="37"/>
      <c r="J867" s="37"/>
      <c r="K867" s="37"/>
      <c r="L867" s="37"/>
      <c r="M867" s="37"/>
      <c r="N867" s="37"/>
      <c r="O867" s="37"/>
      <c r="P867" s="37"/>
      <c r="Q867" s="27"/>
      <c r="R867" s="27"/>
      <c r="S867" s="27"/>
      <c r="T867" s="27"/>
      <c r="U867" s="27"/>
      <c r="V867" s="27"/>
      <c r="W867" s="27"/>
    </row>
    <row r="868" spans="1:23" ht="15" customHeight="1" x14ac:dyDescent="0.2">
      <c r="A868" s="37"/>
      <c r="B868" s="37"/>
      <c r="C868" s="37"/>
      <c r="D868" s="37"/>
      <c r="E868" s="37"/>
      <c r="F868" s="37"/>
      <c r="G868" s="37"/>
      <c r="H868" s="37"/>
      <c r="I868" s="37"/>
      <c r="J868" s="37"/>
      <c r="K868" s="37"/>
      <c r="L868" s="37"/>
      <c r="M868" s="37"/>
      <c r="N868" s="37"/>
      <c r="O868" s="37"/>
      <c r="P868" s="37"/>
      <c r="Q868" s="27"/>
      <c r="R868" s="27"/>
      <c r="S868" s="27"/>
      <c r="T868" s="27"/>
      <c r="U868" s="27"/>
      <c r="V868" s="27"/>
      <c r="W868" s="27"/>
    </row>
    <row r="869" spans="1:23" ht="15" customHeight="1" x14ac:dyDescent="0.2">
      <c r="A869" s="37"/>
      <c r="B869" s="37"/>
      <c r="C869" s="37"/>
      <c r="D869" s="37"/>
      <c r="E869" s="37"/>
      <c r="F869" s="37"/>
      <c r="G869" s="37"/>
      <c r="H869" s="37"/>
      <c r="I869" s="37"/>
      <c r="J869" s="37"/>
      <c r="K869" s="37"/>
      <c r="L869" s="37"/>
      <c r="M869" s="37"/>
      <c r="N869" s="37"/>
      <c r="O869" s="37"/>
      <c r="P869" s="37"/>
      <c r="Q869" s="27"/>
      <c r="R869" s="27"/>
      <c r="S869" s="27"/>
      <c r="T869" s="27"/>
      <c r="U869" s="27"/>
      <c r="V869" s="27"/>
      <c r="W869" s="27"/>
    </row>
    <row r="870" spans="1:23" ht="15" customHeight="1" x14ac:dyDescent="0.2">
      <c r="A870" s="37"/>
      <c r="B870" s="37"/>
      <c r="C870" s="37"/>
      <c r="D870" s="37"/>
      <c r="E870" s="37"/>
      <c r="F870" s="37"/>
      <c r="G870" s="37"/>
      <c r="H870" s="37"/>
      <c r="I870" s="37"/>
      <c r="J870" s="37"/>
      <c r="K870" s="37"/>
      <c r="L870" s="37"/>
      <c r="M870" s="37"/>
      <c r="N870" s="37"/>
      <c r="O870" s="37"/>
      <c r="P870" s="37"/>
      <c r="Q870" s="27"/>
      <c r="R870" s="27"/>
      <c r="S870" s="27"/>
      <c r="T870" s="27"/>
      <c r="U870" s="27"/>
      <c r="V870" s="27"/>
      <c r="W870" s="27"/>
    </row>
    <row r="871" spans="1:23" ht="15" customHeight="1" x14ac:dyDescent="0.2">
      <c r="A871" s="37"/>
      <c r="B871" s="37"/>
      <c r="C871" s="37"/>
      <c r="D871" s="37"/>
      <c r="E871" s="37"/>
      <c r="F871" s="37"/>
      <c r="G871" s="37"/>
      <c r="H871" s="37"/>
      <c r="I871" s="37"/>
      <c r="J871" s="37"/>
      <c r="K871" s="37"/>
      <c r="L871" s="37"/>
      <c r="M871" s="37"/>
      <c r="N871" s="37"/>
      <c r="O871" s="37"/>
      <c r="P871" s="37"/>
      <c r="Q871" s="27"/>
      <c r="R871" s="27"/>
      <c r="S871" s="27"/>
      <c r="T871" s="27"/>
      <c r="U871" s="27"/>
      <c r="V871" s="27"/>
      <c r="W871" s="27"/>
    </row>
    <row r="872" spans="1:23" ht="15" customHeight="1" x14ac:dyDescent="0.2">
      <c r="A872" s="37"/>
      <c r="B872" s="37"/>
      <c r="C872" s="37"/>
      <c r="D872" s="37"/>
      <c r="E872" s="37"/>
      <c r="F872" s="37"/>
      <c r="G872" s="37"/>
      <c r="H872" s="37"/>
      <c r="I872" s="37"/>
      <c r="J872" s="37"/>
      <c r="K872" s="37"/>
      <c r="L872" s="37"/>
      <c r="M872" s="37"/>
      <c r="N872" s="37"/>
      <c r="O872" s="37"/>
      <c r="P872" s="37"/>
      <c r="Q872" s="27"/>
      <c r="R872" s="27"/>
      <c r="S872" s="27"/>
      <c r="T872" s="27"/>
      <c r="U872" s="27"/>
      <c r="V872" s="27"/>
      <c r="W872" s="27"/>
    </row>
    <row r="873" spans="1:23" ht="15" customHeight="1" x14ac:dyDescent="0.2">
      <c r="A873" s="37"/>
      <c r="B873" s="37"/>
      <c r="C873" s="37"/>
      <c r="D873" s="37"/>
      <c r="E873" s="37"/>
      <c r="F873" s="37"/>
      <c r="G873" s="37"/>
      <c r="H873" s="37"/>
      <c r="I873" s="37"/>
      <c r="J873" s="37"/>
      <c r="K873" s="37"/>
      <c r="L873" s="37"/>
      <c r="M873" s="37"/>
      <c r="N873" s="37"/>
      <c r="O873" s="37"/>
      <c r="P873" s="37"/>
      <c r="Q873" s="27"/>
      <c r="R873" s="27"/>
      <c r="S873" s="27"/>
      <c r="T873" s="27"/>
      <c r="U873" s="27"/>
      <c r="V873" s="27"/>
      <c r="W873" s="27"/>
    </row>
    <row r="874" spans="1:23" ht="15" customHeight="1" x14ac:dyDescent="0.2">
      <c r="A874" s="37"/>
      <c r="B874" s="37"/>
      <c r="C874" s="37"/>
      <c r="D874" s="37"/>
      <c r="E874" s="37"/>
      <c r="F874" s="37"/>
      <c r="G874" s="37"/>
      <c r="H874" s="37"/>
      <c r="I874" s="37"/>
      <c r="J874" s="37"/>
      <c r="K874" s="37"/>
      <c r="L874" s="37"/>
      <c r="M874" s="37"/>
      <c r="N874" s="37"/>
      <c r="O874" s="37"/>
      <c r="P874" s="37"/>
      <c r="Q874" s="27"/>
      <c r="R874" s="27"/>
      <c r="S874" s="27"/>
      <c r="T874" s="27"/>
      <c r="U874" s="27"/>
      <c r="V874" s="27"/>
      <c r="W874" s="27"/>
    </row>
    <row r="875" spans="1:23" ht="15" customHeight="1" x14ac:dyDescent="0.2">
      <c r="A875" s="37"/>
      <c r="B875" s="37"/>
      <c r="C875" s="37"/>
      <c r="D875" s="37"/>
      <c r="E875" s="37"/>
      <c r="F875" s="37"/>
      <c r="G875" s="37"/>
      <c r="H875" s="37"/>
      <c r="I875" s="37"/>
      <c r="J875" s="37"/>
      <c r="K875" s="37"/>
      <c r="L875" s="37"/>
      <c r="M875" s="37"/>
      <c r="N875" s="37"/>
      <c r="O875" s="37"/>
      <c r="P875" s="37"/>
      <c r="Q875" s="27"/>
      <c r="R875" s="27"/>
      <c r="S875" s="27"/>
      <c r="T875" s="27"/>
      <c r="U875" s="27"/>
      <c r="V875" s="27"/>
      <c r="W875" s="27"/>
    </row>
    <row r="876" spans="1:23" ht="15" customHeight="1" x14ac:dyDescent="0.2">
      <c r="A876" s="37"/>
      <c r="B876" s="37"/>
      <c r="C876" s="37"/>
      <c r="D876" s="37"/>
      <c r="E876" s="37"/>
      <c r="F876" s="37"/>
      <c r="G876" s="37"/>
      <c r="H876" s="37"/>
      <c r="I876" s="37"/>
      <c r="J876" s="37"/>
      <c r="K876" s="37"/>
      <c r="L876" s="37"/>
      <c r="M876" s="37"/>
      <c r="N876" s="37"/>
      <c r="O876" s="37"/>
      <c r="P876" s="37"/>
      <c r="Q876" s="27"/>
      <c r="R876" s="27"/>
      <c r="S876" s="27"/>
      <c r="T876" s="27"/>
      <c r="U876" s="27"/>
      <c r="V876" s="27"/>
      <c r="W876" s="27"/>
    </row>
    <row r="877" spans="1:23" ht="15" customHeight="1" x14ac:dyDescent="0.2">
      <c r="A877" s="37"/>
      <c r="B877" s="37"/>
      <c r="C877" s="37"/>
      <c r="D877" s="37"/>
      <c r="E877" s="37"/>
      <c r="F877" s="37"/>
      <c r="G877" s="37"/>
      <c r="H877" s="37"/>
      <c r="I877" s="37"/>
      <c r="J877" s="37"/>
      <c r="K877" s="37"/>
      <c r="L877" s="37"/>
      <c r="M877" s="37"/>
      <c r="N877" s="37"/>
      <c r="O877" s="37"/>
      <c r="P877" s="37"/>
      <c r="Q877" s="27"/>
      <c r="R877" s="27"/>
      <c r="S877" s="27"/>
      <c r="T877" s="27"/>
      <c r="U877" s="27"/>
      <c r="V877" s="27"/>
      <c r="W877" s="27"/>
    </row>
    <row r="878" spans="1:23" ht="15" customHeight="1" x14ac:dyDescent="0.2">
      <c r="A878" s="37"/>
      <c r="B878" s="37"/>
      <c r="C878" s="37"/>
      <c r="D878" s="37"/>
      <c r="E878" s="37"/>
      <c r="F878" s="37"/>
      <c r="G878" s="37"/>
      <c r="H878" s="37"/>
      <c r="I878" s="37"/>
      <c r="J878" s="37"/>
      <c r="K878" s="37"/>
      <c r="L878" s="37"/>
      <c r="M878" s="37"/>
      <c r="N878" s="37"/>
      <c r="O878" s="37"/>
      <c r="P878" s="37"/>
      <c r="Q878" s="27"/>
      <c r="R878" s="27"/>
      <c r="S878" s="27"/>
      <c r="T878" s="27"/>
      <c r="U878" s="27"/>
      <c r="V878" s="27"/>
      <c r="W878" s="27"/>
    </row>
    <row r="879" spans="1:23" ht="15" customHeight="1" x14ac:dyDescent="0.2">
      <c r="A879" s="37"/>
      <c r="B879" s="37"/>
      <c r="C879" s="37"/>
      <c r="D879" s="37"/>
      <c r="E879" s="37"/>
      <c r="F879" s="37"/>
      <c r="G879" s="37"/>
      <c r="H879" s="37"/>
      <c r="I879" s="37"/>
      <c r="J879" s="37"/>
      <c r="K879" s="37"/>
      <c r="L879" s="37"/>
      <c r="M879" s="37"/>
      <c r="N879" s="37"/>
      <c r="O879" s="37"/>
      <c r="P879" s="37"/>
      <c r="Q879" s="27"/>
      <c r="R879" s="27"/>
      <c r="S879" s="27"/>
      <c r="T879" s="27"/>
      <c r="U879" s="27"/>
      <c r="V879" s="27"/>
      <c r="W879" s="27"/>
    </row>
    <row r="880" spans="1:23" ht="15" customHeight="1" x14ac:dyDescent="0.2">
      <c r="A880" s="37"/>
      <c r="B880" s="37"/>
      <c r="C880" s="37"/>
      <c r="D880" s="37"/>
      <c r="E880" s="37"/>
      <c r="F880" s="37"/>
      <c r="G880" s="37"/>
      <c r="H880" s="37"/>
      <c r="I880" s="37"/>
      <c r="J880" s="37"/>
      <c r="K880" s="37"/>
      <c r="L880" s="37"/>
      <c r="M880" s="37"/>
      <c r="N880" s="37"/>
      <c r="O880" s="37"/>
      <c r="P880" s="37"/>
      <c r="Q880" s="27"/>
      <c r="R880" s="27"/>
      <c r="S880" s="27"/>
      <c r="T880" s="27"/>
      <c r="U880" s="27"/>
      <c r="V880" s="27"/>
      <c r="W880" s="27"/>
    </row>
    <row r="881" spans="1:23" ht="15" customHeight="1" x14ac:dyDescent="0.2">
      <c r="A881" s="37"/>
      <c r="B881" s="37"/>
      <c r="C881" s="37"/>
      <c r="D881" s="37"/>
      <c r="E881" s="37"/>
      <c r="F881" s="37"/>
      <c r="G881" s="37"/>
      <c r="H881" s="37"/>
      <c r="I881" s="37"/>
      <c r="J881" s="37"/>
      <c r="K881" s="37"/>
      <c r="L881" s="37"/>
      <c r="M881" s="37"/>
      <c r="N881" s="37"/>
      <c r="O881" s="37"/>
      <c r="P881" s="37"/>
      <c r="Q881" s="27"/>
      <c r="R881" s="27"/>
      <c r="S881" s="27"/>
      <c r="T881" s="27"/>
      <c r="U881" s="27"/>
      <c r="V881" s="27"/>
      <c r="W881" s="27"/>
    </row>
    <row r="882" spans="1:23" ht="15" customHeight="1" x14ac:dyDescent="0.2">
      <c r="A882" s="37"/>
      <c r="B882" s="37"/>
      <c r="C882" s="37"/>
      <c r="D882" s="37"/>
      <c r="E882" s="37"/>
      <c r="F882" s="37"/>
      <c r="G882" s="37"/>
      <c r="H882" s="37"/>
      <c r="I882" s="37"/>
      <c r="J882" s="37"/>
      <c r="K882" s="37"/>
      <c r="L882" s="37"/>
      <c r="M882" s="37"/>
      <c r="N882" s="37"/>
      <c r="O882" s="37"/>
      <c r="P882" s="37"/>
      <c r="Q882" s="27"/>
      <c r="R882" s="27"/>
      <c r="S882" s="27"/>
      <c r="T882" s="27"/>
      <c r="U882" s="27"/>
      <c r="V882" s="27"/>
      <c r="W882" s="27"/>
    </row>
    <row r="883" spans="1:23" ht="15" customHeight="1" x14ac:dyDescent="0.2">
      <c r="A883" s="37"/>
      <c r="B883" s="37"/>
      <c r="C883" s="37"/>
      <c r="D883" s="37"/>
      <c r="E883" s="37"/>
      <c r="F883" s="37"/>
      <c r="G883" s="37"/>
      <c r="H883" s="37"/>
      <c r="I883" s="37"/>
      <c r="J883" s="37"/>
      <c r="K883" s="37"/>
      <c r="L883" s="37"/>
      <c r="M883" s="37"/>
      <c r="N883" s="37"/>
      <c r="O883" s="37"/>
      <c r="P883" s="37"/>
      <c r="Q883" s="27"/>
      <c r="R883" s="27"/>
      <c r="S883" s="27"/>
      <c r="T883" s="27"/>
      <c r="U883" s="27"/>
      <c r="V883" s="27"/>
      <c r="W883" s="27"/>
    </row>
    <row r="884" spans="1:23" ht="15" customHeight="1" x14ac:dyDescent="0.2">
      <c r="A884" s="37"/>
      <c r="B884" s="37"/>
      <c r="C884" s="37"/>
      <c r="D884" s="37"/>
      <c r="E884" s="37"/>
      <c r="F884" s="37"/>
      <c r="G884" s="37"/>
      <c r="H884" s="37"/>
      <c r="I884" s="37"/>
      <c r="J884" s="37"/>
      <c r="K884" s="37"/>
      <c r="L884" s="37"/>
      <c r="M884" s="37"/>
      <c r="N884" s="37"/>
      <c r="O884" s="37"/>
      <c r="P884" s="37"/>
      <c r="Q884" s="27"/>
      <c r="R884" s="27"/>
      <c r="S884" s="27"/>
      <c r="T884" s="27"/>
      <c r="U884" s="27"/>
      <c r="V884" s="27"/>
      <c r="W884" s="27"/>
    </row>
    <row r="885" spans="1:23" ht="15" customHeight="1" x14ac:dyDescent="0.2">
      <c r="A885" s="37"/>
      <c r="B885" s="37"/>
      <c r="C885" s="37"/>
      <c r="D885" s="37"/>
      <c r="E885" s="37"/>
      <c r="F885" s="37"/>
      <c r="G885" s="37"/>
      <c r="H885" s="37"/>
      <c r="I885" s="37"/>
      <c r="J885" s="37"/>
      <c r="K885" s="37"/>
      <c r="L885" s="37"/>
      <c r="M885" s="37"/>
      <c r="N885" s="37"/>
      <c r="O885" s="37"/>
      <c r="P885" s="37"/>
      <c r="Q885" s="27"/>
      <c r="R885" s="27"/>
      <c r="S885" s="27"/>
      <c r="T885" s="27"/>
      <c r="U885" s="27"/>
      <c r="V885" s="27"/>
      <c r="W885" s="27"/>
    </row>
    <row r="886" spans="1:23" ht="15" customHeight="1" x14ac:dyDescent="0.2">
      <c r="A886" s="37"/>
      <c r="B886" s="37"/>
      <c r="C886" s="37"/>
      <c r="D886" s="37"/>
      <c r="E886" s="37"/>
      <c r="F886" s="37"/>
      <c r="G886" s="37"/>
      <c r="H886" s="37"/>
      <c r="I886" s="37"/>
      <c r="J886" s="37"/>
      <c r="K886" s="37"/>
      <c r="L886" s="37"/>
      <c r="M886" s="37"/>
      <c r="N886" s="37"/>
      <c r="O886" s="37"/>
      <c r="P886" s="37"/>
      <c r="Q886" s="27"/>
      <c r="R886" s="27"/>
      <c r="S886" s="27"/>
      <c r="T886" s="27"/>
      <c r="U886" s="27"/>
      <c r="V886" s="27"/>
      <c r="W886" s="27"/>
    </row>
    <row r="887" spans="1:23" ht="15" customHeight="1" x14ac:dyDescent="0.2">
      <c r="A887" s="37"/>
      <c r="B887" s="37"/>
      <c r="C887" s="37"/>
      <c r="D887" s="37"/>
      <c r="E887" s="37"/>
      <c r="F887" s="37"/>
      <c r="G887" s="37"/>
      <c r="H887" s="37"/>
      <c r="I887" s="37"/>
      <c r="J887" s="37"/>
      <c r="K887" s="37"/>
      <c r="L887" s="37"/>
      <c r="M887" s="37"/>
      <c r="N887" s="37"/>
      <c r="O887" s="37"/>
      <c r="P887" s="37"/>
      <c r="Q887" s="27"/>
      <c r="R887" s="27"/>
      <c r="S887" s="27"/>
      <c r="T887" s="27"/>
      <c r="U887" s="27"/>
      <c r="V887" s="27"/>
      <c r="W887" s="27"/>
    </row>
    <row r="888" spans="1:23" ht="15" customHeight="1" x14ac:dyDescent="0.2">
      <c r="A888" s="37"/>
      <c r="B888" s="37"/>
      <c r="C888" s="37"/>
      <c r="D888" s="37"/>
      <c r="E888" s="37"/>
      <c r="F888" s="37"/>
      <c r="G888" s="37"/>
      <c r="H888" s="37"/>
      <c r="I888" s="37"/>
      <c r="J888" s="37"/>
      <c r="K888" s="37"/>
      <c r="L888" s="37"/>
      <c r="M888" s="37"/>
      <c r="N888" s="37"/>
      <c r="O888" s="37"/>
      <c r="P888" s="37"/>
      <c r="Q888" s="27"/>
      <c r="R888" s="27"/>
      <c r="S888" s="27"/>
      <c r="T888" s="27"/>
      <c r="U888" s="27"/>
      <c r="V888" s="27"/>
      <c r="W888" s="27"/>
    </row>
    <row r="889" spans="1:23" ht="15" customHeight="1" x14ac:dyDescent="0.2">
      <c r="A889" s="37"/>
      <c r="B889" s="37"/>
      <c r="C889" s="37"/>
      <c r="D889" s="37"/>
      <c r="E889" s="37"/>
      <c r="F889" s="37"/>
      <c r="G889" s="37"/>
      <c r="H889" s="37"/>
      <c r="I889" s="37"/>
      <c r="J889" s="37"/>
      <c r="K889" s="37"/>
      <c r="L889" s="37"/>
      <c r="M889" s="37"/>
      <c r="N889" s="37"/>
      <c r="O889" s="37"/>
      <c r="P889" s="37"/>
      <c r="Q889" s="27"/>
      <c r="R889" s="27"/>
      <c r="S889" s="27"/>
      <c r="T889" s="27"/>
      <c r="U889" s="27"/>
      <c r="V889" s="27"/>
      <c r="W889" s="27"/>
    </row>
    <row r="890" spans="1:23" ht="15" customHeight="1" x14ac:dyDescent="0.2">
      <c r="A890" s="37"/>
      <c r="B890" s="37"/>
      <c r="C890" s="37"/>
      <c r="D890" s="37"/>
      <c r="E890" s="37"/>
      <c r="F890" s="37"/>
      <c r="G890" s="37"/>
      <c r="H890" s="37"/>
      <c r="I890" s="37"/>
      <c r="J890" s="37"/>
      <c r="K890" s="37"/>
      <c r="L890" s="37"/>
      <c r="M890" s="37"/>
      <c r="N890" s="37"/>
      <c r="O890" s="37"/>
      <c r="P890" s="37"/>
      <c r="Q890" s="27"/>
      <c r="R890" s="27"/>
      <c r="S890" s="27"/>
      <c r="T890" s="27"/>
      <c r="U890" s="27"/>
      <c r="V890" s="27"/>
      <c r="W890" s="27"/>
    </row>
    <row r="891" spans="1:23" ht="15" customHeight="1" x14ac:dyDescent="0.2">
      <c r="A891" s="37"/>
      <c r="B891" s="37"/>
      <c r="C891" s="37"/>
      <c r="D891" s="37"/>
      <c r="E891" s="37"/>
      <c r="F891" s="37"/>
      <c r="G891" s="37"/>
      <c r="H891" s="37"/>
      <c r="I891" s="37"/>
      <c r="J891" s="37"/>
      <c r="K891" s="37"/>
      <c r="L891" s="37"/>
      <c r="M891" s="37"/>
      <c r="N891" s="37"/>
      <c r="O891" s="37"/>
      <c r="P891" s="37"/>
      <c r="Q891" s="27"/>
      <c r="R891" s="27"/>
      <c r="S891" s="27"/>
      <c r="T891" s="27"/>
      <c r="U891" s="27"/>
      <c r="V891" s="27"/>
      <c r="W891" s="27"/>
    </row>
    <row r="892" spans="1:23" ht="15" customHeight="1" x14ac:dyDescent="0.2">
      <c r="A892" s="37"/>
      <c r="B892" s="37"/>
      <c r="C892" s="37"/>
      <c r="D892" s="37"/>
      <c r="E892" s="37"/>
      <c r="F892" s="37"/>
      <c r="G892" s="37"/>
      <c r="H892" s="37"/>
      <c r="I892" s="37"/>
      <c r="J892" s="37"/>
      <c r="K892" s="37"/>
      <c r="L892" s="37"/>
      <c r="M892" s="37"/>
      <c r="N892" s="37"/>
      <c r="O892" s="37"/>
      <c r="P892" s="37"/>
      <c r="Q892" s="27"/>
      <c r="R892" s="27"/>
      <c r="S892" s="27"/>
      <c r="T892" s="27"/>
      <c r="U892" s="27"/>
      <c r="V892" s="27"/>
      <c r="W892" s="27"/>
    </row>
    <row r="893" spans="1:23" ht="15" customHeight="1" x14ac:dyDescent="0.2">
      <c r="A893" s="37"/>
      <c r="B893" s="37"/>
      <c r="C893" s="37"/>
      <c r="D893" s="37"/>
      <c r="E893" s="37"/>
      <c r="F893" s="37"/>
      <c r="G893" s="37"/>
      <c r="H893" s="37"/>
      <c r="I893" s="37"/>
      <c r="J893" s="37"/>
      <c r="K893" s="37"/>
      <c r="L893" s="37"/>
      <c r="M893" s="37"/>
      <c r="N893" s="37"/>
      <c r="O893" s="37"/>
      <c r="P893" s="37"/>
      <c r="Q893" s="27"/>
      <c r="R893" s="27"/>
      <c r="S893" s="27"/>
      <c r="T893" s="27"/>
      <c r="U893" s="27"/>
      <c r="V893" s="27"/>
      <c r="W893" s="27"/>
    </row>
    <row r="894" spans="1:23" ht="15" customHeight="1" x14ac:dyDescent="0.2">
      <c r="A894" s="37"/>
      <c r="B894" s="37"/>
      <c r="C894" s="37"/>
      <c r="D894" s="37"/>
      <c r="E894" s="37"/>
      <c r="F894" s="37"/>
      <c r="G894" s="37"/>
      <c r="H894" s="37"/>
      <c r="I894" s="37"/>
      <c r="J894" s="37"/>
      <c r="K894" s="37"/>
      <c r="L894" s="37"/>
      <c r="M894" s="37"/>
      <c r="N894" s="37"/>
      <c r="O894" s="37"/>
      <c r="P894" s="37"/>
      <c r="Q894" s="27"/>
      <c r="R894" s="27"/>
      <c r="S894" s="27"/>
      <c r="T894" s="27"/>
      <c r="U894" s="27"/>
      <c r="V894" s="27"/>
      <c r="W894" s="27"/>
    </row>
    <row r="895" spans="1:23" ht="15" customHeight="1" x14ac:dyDescent="0.2">
      <c r="A895" s="37"/>
      <c r="B895" s="37"/>
      <c r="C895" s="37"/>
      <c r="D895" s="37"/>
      <c r="E895" s="37"/>
      <c r="F895" s="37"/>
      <c r="G895" s="37"/>
      <c r="H895" s="37"/>
      <c r="I895" s="37"/>
      <c r="J895" s="37"/>
      <c r="K895" s="37"/>
      <c r="L895" s="37"/>
      <c r="M895" s="37"/>
      <c r="N895" s="37"/>
      <c r="O895" s="37"/>
      <c r="P895" s="37"/>
      <c r="Q895" s="27"/>
      <c r="R895" s="27"/>
      <c r="S895" s="27"/>
      <c r="T895" s="27"/>
      <c r="U895" s="27"/>
      <c r="V895" s="27"/>
      <c r="W895" s="27"/>
    </row>
    <row r="896" spans="1:23" ht="15" customHeight="1" x14ac:dyDescent="0.2">
      <c r="A896" s="37"/>
      <c r="B896" s="37"/>
      <c r="C896" s="37"/>
      <c r="D896" s="37"/>
      <c r="E896" s="37"/>
      <c r="F896" s="37"/>
      <c r="G896" s="37"/>
      <c r="H896" s="37"/>
      <c r="I896" s="37"/>
      <c r="J896" s="37"/>
      <c r="K896" s="37"/>
      <c r="L896" s="37"/>
      <c r="M896" s="37"/>
      <c r="N896" s="37"/>
      <c r="O896" s="37"/>
      <c r="P896" s="37"/>
      <c r="Q896" s="27"/>
      <c r="R896" s="27"/>
      <c r="S896" s="27"/>
      <c r="T896" s="27"/>
      <c r="U896" s="27"/>
      <c r="V896" s="27"/>
      <c r="W896" s="27"/>
    </row>
    <row r="897" spans="1:23" ht="15" customHeight="1" x14ac:dyDescent="0.2">
      <c r="A897" s="37"/>
      <c r="B897" s="37"/>
      <c r="C897" s="37"/>
      <c r="D897" s="37"/>
      <c r="E897" s="37"/>
      <c r="F897" s="37"/>
      <c r="G897" s="37"/>
      <c r="H897" s="37"/>
      <c r="I897" s="37"/>
      <c r="J897" s="37"/>
      <c r="K897" s="37"/>
      <c r="L897" s="37"/>
      <c r="M897" s="37"/>
      <c r="N897" s="37"/>
      <c r="O897" s="37"/>
      <c r="P897" s="37"/>
      <c r="Q897" s="27"/>
      <c r="R897" s="27"/>
      <c r="S897" s="27"/>
      <c r="T897" s="27"/>
      <c r="U897" s="27"/>
      <c r="V897" s="27"/>
      <c r="W897" s="27"/>
    </row>
    <row r="898" spans="1:23" ht="15" customHeight="1" x14ac:dyDescent="0.2">
      <c r="A898" s="37"/>
      <c r="B898" s="37"/>
      <c r="C898" s="37"/>
      <c r="D898" s="37"/>
      <c r="E898" s="37"/>
      <c r="F898" s="37"/>
      <c r="G898" s="37"/>
      <c r="H898" s="37"/>
      <c r="I898" s="37"/>
      <c r="J898" s="37"/>
      <c r="K898" s="37"/>
      <c r="L898" s="37"/>
      <c r="M898" s="37"/>
      <c r="N898" s="37"/>
      <c r="O898" s="37"/>
      <c r="P898" s="37"/>
      <c r="Q898" s="27"/>
      <c r="R898" s="27"/>
      <c r="S898" s="27"/>
      <c r="T898" s="27"/>
      <c r="U898" s="27"/>
      <c r="V898" s="27"/>
      <c r="W898" s="27"/>
    </row>
    <row r="899" spans="1:23" ht="15" customHeight="1" x14ac:dyDescent="0.2">
      <c r="A899" s="37"/>
      <c r="B899" s="37"/>
      <c r="C899" s="37"/>
      <c r="D899" s="37"/>
      <c r="E899" s="37"/>
      <c r="F899" s="37"/>
      <c r="G899" s="37"/>
      <c r="H899" s="37"/>
      <c r="I899" s="37"/>
      <c r="J899" s="37"/>
      <c r="K899" s="37"/>
      <c r="L899" s="37"/>
      <c r="M899" s="37"/>
      <c r="N899" s="37"/>
      <c r="O899" s="37"/>
      <c r="P899" s="37"/>
      <c r="Q899" s="27"/>
      <c r="R899" s="27"/>
      <c r="S899" s="27"/>
      <c r="T899" s="27"/>
      <c r="U899" s="27"/>
      <c r="V899" s="27"/>
      <c r="W899" s="27"/>
    </row>
    <row r="900" spans="1:23" ht="15" customHeight="1" x14ac:dyDescent="0.2">
      <c r="A900" s="37"/>
      <c r="B900" s="37"/>
      <c r="C900" s="37"/>
      <c r="D900" s="37"/>
      <c r="E900" s="37"/>
      <c r="F900" s="37"/>
      <c r="G900" s="37"/>
      <c r="H900" s="37"/>
      <c r="I900" s="37"/>
      <c r="J900" s="37"/>
      <c r="K900" s="37"/>
      <c r="L900" s="37"/>
      <c r="M900" s="37"/>
      <c r="N900" s="37"/>
      <c r="O900" s="37"/>
      <c r="P900" s="37"/>
      <c r="Q900" s="27"/>
      <c r="R900" s="27"/>
      <c r="S900" s="27"/>
      <c r="T900" s="27"/>
      <c r="U900" s="27"/>
      <c r="V900" s="27"/>
      <c r="W900" s="27"/>
    </row>
    <row r="901" spans="1:23" ht="15" customHeight="1" x14ac:dyDescent="0.2">
      <c r="A901" s="37"/>
      <c r="B901" s="37"/>
      <c r="C901" s="37"/>
      <c r="D901" s="37"/>
      <c r="E901" s="37"/>
      <c r="F901" s="37"/>
      <c r="G901" s="37"/>
      <c r="H901" s="37"/>
      <c r="I901" s="37"/>
      <c r="J901" s="37"/>
      <c r="K901" s="37"/>
      <c r="L901" s="37"/>
      <c r="M901" s="37"/>
      <c r="N901" s="37"/>
      <c r="O901" s="37"/>
      <c r="P901" s="37"/>
      <c r="Q901" s="27"/>
      <c r="R901" s="27"/>
      <c r="S901" s="27"/>
      <c r="T901" s="27"/>
      <c r="U901" s="27"/>
      <c r="V901" s="27"/>
      <c r="W901" s="27"/>
    </row>
    <row r="902" spans="1:23" ht="15" customHeight="1" x14ac:dyDescent="0.2">
      <c r="A902" s="37"/>
      <c r="B902" s="37"/>
      <c r="C902" s="37"/>
      <c r="D902" s="37"/>
      <c r="E902" s="37"/>
      <c r="F902" s="37"/>
      <c r="G902" s="37"/>
      <c r="H902" s="37"/>
      <c r="I902" s="37"/>
      <c r="J902" s="37"/>
      <c r="K902" s="37"/>
      <c r="L902" s="37"/>
      <c r="M902" s="37"/>
      <c r="N902" s="37"/>
      <c r="O902" s="37"/>
      <c r="P902" s="37"/>
      <c r="Q902" s="27"/>
      <c r="R902" s="27"/>
      <c r="S902" s="27"/>
      <c r="T902" s="27"/>
      <c r="U902" s="27"/>
      <c r="V902" s="27"/>
      <c r="W902" s="27"/>
    </row>
    <row r="903" spans="1:23" ht="15" customHeight="1" x14ac:dyDescent="0.2">
      <c r="A903" s="37"/>
      <c r="B903" s="37"/>
      <c r="C903" s="37"/>
      <c r="D903" s="37"/>
      <c r="E903" s="37"/>
      <c r="F903" s="37"/>
      <c r="G903" s="37"/>
      <c r="H903" s="37"/>
      <c r="I903" s="37"/>
      <c r="J903" s="37"/>
      <c r="K903" s="37"/>
      <c r="L903" s="37"/>
      <c r="M903" s="37"/>
      <c r="N903" s="37"/>
      <c r="O903" s="37"/>
      <c r="P903" s="37"/>
      <c r="Q903" s="27"/>
      <c r="R903" s="27"/>
      <c r="S903" s="27"/>
      <c r="T903" s="27"/>
      <c r="U903" s="27"/>
      <c r="V903" s="27"/>
      <c r="W903" s="27"/>
    </row>
    <row r="904" spans="1:23" ht="15" customHeight="1" x14ac:dyDescent="0.2">
      <c r="A904" s="37"/>
      <c r="B904" s="37"/>
      <c r="C904" s="37"/>
      <c r="D904" s="37"/>
      <c r="E904" s="37"/>
      <c r="F904" s="37"/>
      <c r="G904" s="37"/>
      <c r="H904" s="37"/>
      <c r="I904" s="37"/>
      <c r="J904" s="37"/>
      <c r="K904" s="37"/>
      <c r="L904" s="37"/>
      <c r="M904" s="37"/>
      <c r="N904" s="37"/>
      <c r="O904" s="37"/>
      <c r="P904" s="37"/>
      <c r="Q904" s="27"/>
      <c r="R904" s="27"/>
      <c r="S904" s="27"/>
      <c r="T904" s="27"/>
      <c r="U904" s="27"/>
      <c r="V904" s="27"/>
      <c r="W904" s="27"/>
    </row>
    <row r="905" spans="1:23" ht="15" customHeight="1" x14ac:dyDescent="0.2">
      <c r="A905" s="37"/>
      <c r="B905" s="37"/>
      <c r="C905" s="37"/>
      <c r="D905" s="37"/>
      <c r="E905" s="37"/>
      <c r="F905" s="37"/>
      <c r="G905" s="37"/>
      <c r="H905" s="37"/>
      <c r="I905" s="37"/>
      <c r="J905" s="37"/>
      <c r="K905" s="37"/>
      <c r="L905" s="37"/>
      <c r="M905" s="37"/>
      <c r="N905" s="37"/>
      <c r="O905" s="37"/>
      <c r="P905" s="37"/>
      <c r="Q905" s="27"/>
      <c r="R905" s="27"/>
      <c r="S905" s="27"/>
      <c r="T905" s="27"/>
      <c r="U905" s="27"/>
      <c r="V905" s="27"/>
      <c r="W905" s="27"/>
    </row>
    <row r="906" spans="1:23" ht="15" customHeight="1" x14ac:dyDescent="0.2">
      <c r="A906" s="37"/>
      <c r="B906" s="37"/>
      <c r="C906" s="37"/>
      <c r="D906" s="37"/>
      <c r="E906" s="37"/>
      <c r="F906" s="37"/>
      <c r="G906" s="37"/>
      <c r="H906" s="37"/>
      <c r="I906" s="37"/>
      <c r="J906" s="37"/>
      <c r="K906" s="37"/>
      <c r="L906" s="37"/>
      <c r="M906" s="37"/>
      <c r="N906" s="37"/>
      <c r="O906" s="37"/>
      <c r="P906" s="37"/>
      <c r="Q906" s="27"/>
      <c r="R906" s="27"/>
      <c r="S906" s="27"/>
      <c r="T906" s="27"/>
      <c r="U906" s="27"/>
      <c r="V906" s="27"/>
      <c r="W906" s="27"/>
    </row>
    <row r="907" spans="1:23" ht="15" customHeight="1" x14ac:dyDescent="0.2">
      <c r="A907" s="37"/>
      <c r="B907" s="37"/>
      <c r="C907" s="37"/>
      <c r="D907" s="37"/>
      <c r="E907" s="37"/>
      <c r="F907" s="37"/>
      <c r="G907" s="37"/>
      <c r="H907" s="37"/>
      <c r="I907" s="37"/>
      <c r="J907" s="37"/>
      <c r="K907" s="37"/>
      <c r="L907" s="37"/>
      <c r="M907" s="37"/>
      <c r="N907" s="37"/>
      <c r="O907" s="37"/>
      <c r="P907" s="37"/>
      <c r="Q907" s="27"/>
      <c r="R907" s="27"/>
      <c r="S907" s="27"/>
      <c r="T907" s="27"/>
      <c r="U907" s="27"/>
      <c r="V907" s="27"/>
      <c r="W907" s="27"/>
    </row>
    <row r="908" spans="1:23" ht="15" customHeight="1" x14ac:dyDescent="0.2">
      <c r="A908" s="37"/>
      <c r="B908" s="37"/>
      <c r="C908" s="37"/>
      <c r="D908" s="37"/>
      <c r="E908" s="37"/>
      <c r="F908" s="37"/>
      <c r="G908" s="37"/>
      <c r="H908" s="37"/>
      <c r="I908" s="37"/>
      <c r="J908" s="37"/>
      <c r="K908" s="37"/>
      <c r="L908" s="37"/>
      <c r="M908" s="37"/>
      <c r="N908" s="37"/>
      <c r="O908" s="37"/>
      <c r="P908" s="37"/>
      <c r="Q908" s="27"/>
      <c r="R908" s="27"/>
      <c r="S908" s="27"/>
      <c r="T908" s="27"/>
      <c r="U908" s="27"/>
      <c r="V908" s="27"/>
      <c r="W908" s="27"/>
    </row>
    <row r="909" spans="1:23" ht="15" customHeight="1" x14ac:dyDescent="0.2">
      <c r="A909" s="37"/>
      <c r="B909" s="37"/>
      <c r="C909" s="37"/>
      <c r="D909" s="37"/>
      <c r="E909" s="37"/>
      <c r="F909" s="37"/>
      <c r="G909" s="37"/>
      <c r="H909" s="37"/>
      <c r="I909" s="37"/>
      <c r="J909" s="37"/>
      <c r="K909" s="37"/>
      <c r="L909" s="37"/>
      <c r="M909" s="37"/>
      <c r="N909" s="37"/>
      <c r="O909" s="37"/>
      <c r="P909" s="37"/>
      <c r="Q909" s="27"/>
      <c r="R909" s="27"/>
      <c r="S909" s="27"/>
      <c r="T909" s="27"/>
      <c r="U909" s="27"/>
      <c r="V909" s="27"/>
      <c r="W909" s="27"/>
    </row>
    <row r="910" spans="1:23" ht="15" customHeight="1" x14ac:dyDescent="0.2">
      <c r="A910" s="37"/>
      <c r="B910" s="37"/>
      <c r="C910" s="37"/>
      <c r="D910" s="37"/>
      <c r="E910" s="37"/>
      <c r="F910" s="37"/>
      <c r="G910" s="37"/>
      <c r="H910" s="37"/>
      <c r="I910" s="37"/>
      <c r="J910" s="37"/>
      <c r="K910" s="37"/>
      <c r="L910" s="37"/>
      <c r="M910" s="37"/>
      <c r="N910" s="37"/>
      <c r="O910" s="37"/>
      <c r="P910" s="37"/>
      <c r="Q910" s="27"/>
      <c r="R910" s="27"/>
      <c r="S910" s="27"/>
      <c r="T910" s="27"/>
      <c r="U910" s="27"/>
      <c r="V910" s="27"/>
      <c r="W910" s="27"/>
    </row>
    <row r="911" spans="1:23" ht="15" customHeight="1" x14ac:dyDescent="0.2">
      <c r="A911" s="37"/>
      <c r="B911" s="37"/>
      <c r="C911" s="37"/>
      <c r="D911" s="37"/>
      <c r="E911" s="37"/>
      <c r="F911" s="37"/>
      <c r="G911" s="37"/>
      <c r="H911" s="37"/>
      <c r="I911" s="37"/>
      <c r="J911" s="37"/>
      <c r="K911" s="37"/>
      <c r="L911" s="37"/>
      <c r="M911" s="37"/>
      <c r="N911" s="37"/>
      <c r="O911" s="37"/>
      <c r="P911" s="37"/>
      <c r="Q911" s="27"/>
      <c r="R911" s="27"/>
      <c r="S911" s="27"/>
      <c r="T911" s="27"/>
      <c r="U911" s="27"/>
      <c r="V911" s="27"/>
      <c r="W911" s="27"/>
    </row>
    <row r="912" spans="1:23" ht="15" customHeight="1" x14ac:dyDescent="0.2">
      <c r="A912" s="37"/>
      <c r="B912" s="37"/>
      <c r="C912" s="37"/>
      <c r="D912" s="37"/>
      <c r="E912" s="37"/>
      <c r="F912" s="37"/>
      <c r="G912" s="37"/>
      <c r="H912" s="37"/>
      <c r="I912" s="37"/>
      <c r="J912" s="37"/>
      <c r="K912" s="37"/>
      <c r="L912" s="37"/>
      <c r="M912" s="37"/>
      <c r="N912" s="37"/>
      <c r="O912" s="37"/>
      <c r="P912" s="37"/>
      <c r="Q912" s="27"/>
      <c r="R912" s="27"/>
      <c r="S912" s="27"/>
      <c r="T912" s="27"/>
      <c r="U912" s="27"/>
      <c r="V912" s="27"/>
      <c r="W912" s="27"/>
    </row>
    <row r="913" spans="1:23" ht="15" customHeight="1" x14ac:dyDescent="0.2">
      <c r="A913" s="37"/>
      <c r="B913" s="37"/>
      <c r="C913" s="37"/>
      <c r="D913" s="37"/>
      <c r="E913" s="37"/>
      <c r="F913" s="37"/>
      <c r="G913" s="37"/>
      <c r="H913" s="37"/>
      <c r="I913" s="37"/>
      <c r="J913" s="37"/>
      <c r="K913" s="37"/>
      <c r="L913" s="37"/>
      <c r="M913" s="37"/>
      <c r="N913" s="37"/>
      <c r="O913" s="37"/>
      <c r="P913" s="37"/>
      <c r="Q913" s="27"/>
      <c r="R913" s="27"/>
      <c r="S913" s="27"/>
      <c r="T913" s="27"/>
      <c r="U913" s="27"/>
      <c r="V913" s="27"/>
      <c r="W913" s="27"/>
    </row>
    <row r="914" spans="1:23" ht="15" customHeight="1" x14ac:dyDescent="0.2">
      <c r="A914" s="37"/>
      <c r="B914" s="37"/>
      <c r="C914" s="37"/>
      <c r="D914" s="37"/>
      <c r="E914" s="37"/>
      <c r="F914" s="37"/>
      <c r="G914" s="37"/>
      <c r="H914" s="37"/>
      <c r="I914" s="37"/>
      <c r="J914" s="37"/>
      <c r="K914" s="37"/>
      <c r="L914" s="37"/>
      <c r="M914" s="37"/>
      <c r="N914" s="37"/>
      <c r="O914" s="37"/>
      <c r="P914" s="37"/>
      <c r="Q914" s="27"/>
      <c r="R914" s="27"/>
      <c r="S914" s="27"/>
      <c r="T914" s="27"/>
      <c r="U914" s="27"/>
      <c r="V914" s="27"/>
      <c r="W914" s="27"/>
    </row>
    <row r="915" spans="1:23" ht="15" customHeight="1" x14ac:dyDescent="0.2">
      <c r="A915" s="37"/>
      <c r="B915" s="37"/>
      <c r="C915" s="37"/>
      <c r="D915" s="37"/>
      <c r="E915" s="37"/>
      <c r="F915" s="37"/>
      <c r="G915" s="37"/>
      <c r="H915" s="37"/>
      <c r="I915" s="37"/>
      <c r="J915" s="37"/>
      <c r="K915" s="37"/>
      <c r="L915" s="37"/>
      <c r="M915" s="37"/>
      <c r="N915" s="37"/>
      <c r="O915" s="37"/>
      <c r="P915" s="37"/>
      <c r="Q915" s="27"/>
      <c r="R915" s="27"/>
      <c r="S915" s="27"/>
      <c r="T915" s="27"/>
      <c r="U915" s="27"/>
      <c r="V915" s="27"/>
      <c r="W915" s="27"/>
    </row>
    <row r="916" spans="1:23" ht="15" customHeight="1" x14ac:dyDescent="0.2">
      <c r="A916" s="37"/>
      <c r="B916" s="37"/>
      <c r="C916" s="37"/>
      <c r="D916" s="37"/>
      <c r="E916" s="37"/>
      <c r="F916" s="37"/>
      <c r="G916" s="37"/>
      <c r="H916" s="37"/>
      <c r="I916" s="37"/>
      <c r="J916" s="37"/>
      <c r="K916" s="37"/>
      <c r="L916" s="37"/>
      <c r="M916" s="37"/>
      <c r="N916" s="37"/>
      <c r="O916" s="37"/>
      <c r="P916" s="37"/>
      <c r="Q916" s="27"/>
      <c r="R916" s="27"/>
      <c r="S916" s="27"/>
      <c r="T916" s="27"/>
      <c r="U916" s="27"/>
      <c r="V916" s="27"/>
      <c r="W916" s="27"/>
    </row>
    <row r="917" spans="1:23" ht="15" customHeight="1" x14ac:dyDescent="0.2">
      <c r="A917" s="37"/>
      <c r="B917" s="37"/>
      <c r="C917" s="37"/>
      <c r="D917" s="37"/>
      <c r="E917" s="37"/>
      <c r="F917" s="37"/>
      <c r="G917" s="37"/>
      <c r="H917" s="37"/>
      <c r="I917" s="37"/>
      <c r="J917" s="37"/>
      <c r="K917" s="37"/>
      <c r="L917" s="37"/>
      <c r="M917" s="37"/>
      <c r="N917" s="37"/>
      <c r="O917" s="37"/>
      <c r="P917" s="37"/>
      <c r="Q917" s="27"/>
      <c r="R917" s="27"/>
      <c r="S917" s="27"/>
      <c r="T917" s="27"/>
      <c r="U917" s="27"/>
      <c r="V917" s="27"/>
      <c r="W917" s="27"/>
    </row>
    <row r="918" spans="1:23" ht="15" customHeight="1" x14ac:dyDescent="0.2">
      <c r="A918" s="37"/>
      <c r="B918" s="37"/>
      <c r="C918" s="37"/>
      <c r="D918" s="37"/>
      <c r="E918" s="37"/>
      <c r="F918" s="37"/>
      <c r="G918" s="37"/>
      <c r="H918" s="37"/>
      <c r="I918" s="37"/>
      <c r="J918" s="37"/>
      <c r="K918" s="37"/>
      <c r="L918" s="37"/>
      <c r="M918" s="37"/>
      <c r="N918" s="37"/>
      <c r="O918" s="37"/>
      <c r="P918" s="37"/>
      <c r="Q918" s="27"/>
      <c r="R918" s="27"/>
      <c r="S918" s="27"/>
      <c r="T918" s="27"/>
      <c r="U918" s="27"/>
      <c r="V918" s="27"/>
      <c r="W918" s="27"/>
    </row>
    <row r="919" spans="1:23" ht="15" customHeight="1" x14ac:dyDescent="0.2">
      <c r="A919" s="37"/>
      <c r="B919" s="37"/>
      <c r="C919" s="37"/>
      <c r="D919" s="37"/>
      <c r="E919" s="37"/>
      <c r="F919" s="37"/>
      <c r="G919" s="37"/>
      <c r="H919" s="37"/>
      <c r="I919" s="37"/>
      <c r="J919" s="37"/>
      <c r="K919" s="37"/>
      <c r="L919" s="37"/>
      <c r="M919" s="37"/>
      <c r="N919" s="37"/>
      <c r="O919" s="37"/>
      <c r="P919" s="37"/>
      <c r="Q919" s="27"/>
      <c r="R919" s="27"/>
      <c r="S919" s="27"/>
      <c r="T919" s="27"/>
      <c r="U919" s="27"/>
      <c r="V919" s="27"/>
      <c r="W919" s="27"/>
    </row>
    <row r="920" spans="1:23" ht="15" customHeight="1" x14ac:dyDescent="0.2">
      <c r="A920" s="37"/>
      <c r="B920" s="37"/>
      <c r="C920" s="37"/>
      <c r="D920" s="37"/>
      <c r="E920" s="37"/>
      <c r="F920" s="37"/>
      <c r="G920" s="37"/>
      <c r="H920" s="37"/>
      <c r="I920" s="37"/>
      <c r="J920" s="37"/>
      <c r="K920" s="37"/>
      <c r="L920" s="37"/>
      <c r="M920" s="37"/>
      <c r="N920" s="37"/>
      <c r="O920" s="37"/>
      <c r="P920" s="37"/>
      <c r="Q920" s="27"/>
      <c r="R920" s="27"/>
      <c r="S920" s="27"/>
      <c r="T920" s="27"/>
      <c r="U920" s="27"/>
      <c r="V920" s="27"/>
      <c r="W920" s="27"/>
    </row>
    <row r="921" spans="1:23" ht="15" customHeight="1" x14ac:dyDescent="0.2">
      <c r="A921" s="37"/>
      <c r="B921" s="37"/>
      <c r="C921" s="37"/>
      <c r="D921" s="37"/>
      <c r="E921" s="37"/>
      <c r="F921" s="37"/>
      <c r="G921" s="37"/>
      <c r="H921" s="37"/>
      <c r="I921" s="37"/>
      <c r="J921" s="37"/>
      <c r="K921" s="37"/>
      <c r="L921" s="37"/>
      <c r="M921" s="37"/>
      <c r="N921" s="37"/>
      <c r="O921" s="37"/>
      <c r="P921" s="37"/>
      <c r="Q921" s="27"/>
      <c r="R921" s="27"/>
      <c r="S921" s="27"/>
      <c r="T921" s="27"/>
      <c r="U921" s="27"/>
      <c r="V921" s="27"/>
      <c r="W921" s="27"/>
    </row>
    <row r="922" spans="1:23" ht="15" customHeight="1" x14ac:dyDescent="0.2">
      <c r="A922" s="37"/>
      <c r="B922" s="37"/>
      <c r="C922" s="37"/>
      <c r="D922" s="37"/>
      <c r="E922" s="37"/>
      <c r="F922" s="37"/>
      <c r="G922" s="37"/>
      <c r="H922" s="37"/>
      <c r="I922" s="37"/>
      <c r="J922" s="37"/>
      <c r="K922" s="37"/>
      <c r="L922" s="37"/>
      <c r="M922" s="37"/>
      <c r="N922" s="37"/>
      <c r="O922" s="37"/>
      <c r="P922" s="37"/>
      <c r="Q922" s="27"/>
      <c r="R922" s="27"/>
      <c r="S922" s="27"/>
      <c r="T922" s="27"/>
      <c r="U922" s="27"/>
      <c r="V922" s="27"/>
      <c r="W922" s="27"/>
    </row>
    <row r="923" spans="1:23" ht="15" customHeight="1" x14ac:dyDescent="0.2">
      <c r="A923" s="37"/>
      <c r="B923" s="37"/>
      <c r="C923" s="37"/>
      <c r="D923" s="37"/>
      <c r="E923" s="37"/>
      <c r="F923" s="37"/>
      <c r="G923" s="37"/>
      <c r="H923" s="37"/>
      <c r="I923" s="37"/>
      <c r="J923" s="37"/>
      <c r="K923" s="37"/>
      <c r="L923" s="37"/>
      <c r="M923" s="37"/>
      <c r="N923" s="37"/>
      <c r="O923" s="37"/>
      <c r="P923" s="37"/>
      <c r="Q923" s="27"/>
      <c r="R923" s="27"/>
      <c r="S923" s="27"/>
      <c r="T923" s="27"/>
      <c r="U923" s="27"/>
      <c r="V923" s="27"/>
      <c r="W923" s="27"/>
    </row>
    <row r="924" spans="1:23" ht="15" customHeight="1" x14ac:dyDescent="0.2">
      <c r="A924" s="37"/>
      <c r="B924" s="37"/>
      <c r="C924" s="37"/>
      <c r="D924" s="37"/>
      <c r="E924" s="37"/>
      <c r="F924" s="37"/>
      <c r="G924" s="37"/>
      <c r="H924" s="37"/>
      <c r="I924" s="37"/>
      <c r="J924" s="37"/>
      <c r="K924" s="37"/>
      <c r="L924" s="37"/>
      <c r="M924" s="37"/>
      <c r="N924" s="37"/>
      <c r="O924" s="37"/>
      <c r="P924" s="37"/>
      <c r="Q924" s="27"/>
      <c r="R924" s="27"/>
      <c r="S924" s="27"/>
      <c r="T924" s="27"/>
      <c r="U924" s="27"/>
      <c r="V924" s="27"/>
      <c r="W924" s="27"/>
    </row>
    <row r="925" spans="1:23" ht="15" customHeight="1" x14ac:dyDescent="0.2">
      <c r="A925" s="37"/>
      <c r="B925" s="37"/>
      <c r="C925" s="37"/>
      <c r="D925" s="37"/>
      <c r="E925" s="37"/>
      <c r="F925" s="37"/>
      <c r="G925" s="37"/>
      <c r="H925" s="37"/>
      <c r="I925" s="37"/>
      <c r="J925" s="37"/>
      <c r="K925" s="37"/>
      <c r="L925" s="37"/>
      <c r="M925" s="37"/>
      <c r="N925" s="37"/>
      <c r="O925" s="37"/>
      <c r="P925" s="37"/>
      <c r="Q925" s="27"/>
      <c r="R925" s="27"/>
      <c r="S925" s="27"/>
      <c r="T925" s="27"/>
      <c r="U925" s="27"/>
      <c r="V925" s="27"/>
      <c r="W925" s="27"/>
    </row>
    <row r="926" spans="1:23" ht="15" customHeight="1" x14ac:dyDescent="0.2">
      <c r="A926" s="37"/>
      <c r="B926" s="37"/>
      <c r="C926" s="37"/>
      <c r="D926" s="37"/>
      <c r="E926" s="37"/>
      <c r="F926" s="37"/>
      <c r="G926" s="37"/>
      <c r="H926" s="37"/>
      <c r="I926" s="37"/>
      <c r="J926" s="37"/>
      <c r="K926" s="37"/>
      <c r="L926" s="37"/>
      <c r="M926" s="37"/>
      <c r="N926" s="37"/>
      <c r="O926" s="37"/>
      <c r="P926" s="37"/>
      <c r="Q926" s="27"/>
      <c r="R926" s="27"/>
      <c r="S926" s="27"/>
      <c r="T926" s="27"/>
      <c r="U926" s="27"/>
      <c r="V926" s="27"/>
      <c r="W926" s="27"/>
    </row>
    <row r="927" spans="1:23" ht="15" customHeight="1" x14ac:dyDescent="0.2">
      <c r="A927" s="37"/>
      <c r="B927" s="37"/>
      <c r="C927" s="37"/>
      <c r="D927" s="37"/>
      <c r="E927" s="37"/>
      <c r="F927" s="37"/>
      <c r="G927" s="37"/>
      <c r="H927" s="37"/>
      <c r="I927" s="37"/>
      <c r="J927" s="37"/>
      <c r="K927" s="37"/>
      <c r="L927" s="37"/>
      <c r="M927" s="37"/>
      <c r="N927" s="37"/>
      <c r="O927" s="37"/>
      <c r="P927" s="37"/>
      <c r="Q927" s="27"/>
      <c r="R927" s="27"/>
      <c r="S927" s="27"/>
      <c r="T927" s="27"/>
      <c r="U927" s="27"/>
      <c r="V927" s="27"/>
      <c r="W927" s="27"/>
    </row>
    <row r="928" spans="1:23" ht="15" customHeight="1" x14ac:dyDescent="0.2">
      <c r="A928" s="37"/>
      <c r="B928" s="37"/>
      <c r="C928" s="37"/>
      <c r="D928" s="37"/>
      <c r="E928" s="37"/>
      <c r="F928" s="37"/>
      <c r="G928" s="37"/>
      <c r="H928" s="37"/>
      <c r="I928" s="37"/>
      <c r="J928" s="37"/>
      <c r="K928" s="37"/>
      <c r="L928" s="37"/>
      <c r="M928" s="37"/>
      <c r="N928" s="37"/>
      <c r="O928" s="37"/>
      <c r="P928" s="37"/>
      <c r="Q928" s="27"/>
      <c r="R928" s="27"/>
      <c r="S928" s="27"/>
      <c r="T928" s="27"/>
      <c r="U928" s="27"/>
      <c r="V928" s="27"/>
      <c r="W928" s="27"/>
    </row>
    <row r="929" spans="1:23" ht="15" customHeight="1" x14ac:dyDescent="0.2">
      <c r="A929" s="37"/>
      <c r="B929" s="37"/>
      <c r="C929" s="37"/>
      <c r="D929" s="37"/>
      <c r="E929" s="37"/>
      <c r="F929" s="37"/>
      <c r="G929" s="37"/>
      <c r="H929" s="37"/>
      <c r="I929" s="37"/>
      <c r="J929" s="37"/>
      <c r="K929" s="37"/>
      <c r="L929" s="37"/>
      <c r="M929" s="37"/>
      <c r="N929" s="37"/>
      <c r="O929" s="37"/>
      <c r="P929" s="37"/>
      <c r="Q929" s="27"/>
      <c r="R929" s="27"/>
      <c r="S929" s="27"/>
      <c r="T929" s="27"/>
      <c r="U929" s="27"/>
      <c r="V929" s="27"/>
      <c r="W929" s="27"/>
    </row>
    <row r="930" spans="1:23" ht="15" customHeight="1" x14ac:dyDescent="0.2">
      <c r="A930" s="37"/>
      <c r="B930" s="37"/>
      <c r="C930" s="37"/>
      <c r="D930" s="37"/>
      <c r="E930" s="37"/>
      <c r="F930" s="37"/>
      <c r="G930" s="37"/>
      <c r="H930" s="37"/>
      <c r="I930" s="37"/>
      <c r="J930" s="37"/>
      <c r="K930" s="37"/>
      <c r="L930" s="37"/>
      <c r="M930" s="37"/>
      <c r="N930" s="37"/>
      <c r="O930" s="37"/>
      <c r="P930" s="37"/>
      <c r="Q930" s="27"/>
      <c r="R930" s="27"/>
      <c r="S930" s="27"/>
      <c r="T930" s="27"/>
      <c r="U930" s="27"/>
      <c r="V930" s="27"/>
      <c r="W930" s="27"/>
    </row>
    <row r="931" spans="1:23" ht="15" customHeight="1" x14ac:dyDescent="0.2">
      <c r="A931" s="37"/>
      <c r="B931" s="37"/>
      <c r="C931" s="37"/>
      <c r="D931" s="37"/>
      <c r="E931" s="37"/>
      <c r="F931" s="37"/>
      <c r="G931" s="37"/>
      <c r="H931" s="37"/>
      <c r="I931" s="37"/>
      <c r="J931" s="37"/>
      <c r="K931" s="37"/>
      <c r="L931" s="37"/>
      <c r="M931" s="37"/>
      <c r="N931" s="37"/>
      <c r="O931" s="37"/>
      <c r="P931" s="37"/>
      <c r="Q931" s="27"/>
      <c r="R931" s="27"/>
      <c r="S931" s="27"/>
      <c r="T931" s="27"/>
      <c r="U931" s="27"/>
      <c r="V931" s="27"/>
      <c r="W931" s="27"/>
    </row>
    <row r="932" spans="1:23" ht="15" customHeight="1" x14ac:dyDescent="0.2">
      <c r="A932" s="37"/>
      <c r="B932" s="37"/>
      <c r="C932" s="37"/>
      <c r="D932" s="37"/>
      <c r="E932" s="37"/>
      <c r="F932" s="37"/>
      <c r="G932" s="37"/>
      <c r="H932" s="37"/>
      <c r="I932" s="37"/>
      <c r="J932" s="37"/>
      <c r="K932" s="37"/>
      <c r="L932" s="37"/>
      <c r="M932" s="37"/>
      <c r="N932" s="37"/>
      <c r="O932" s="37"/>
      <c r="P932" s="37"/>
      <c r="Q932" s="27"/>
      <c r="R932" s="27"/>
      <c r="S932" s="27"/>
      <c r="T932" s="27"/>
      <c r="U932" s="27"/>
      <c r="V932" s="27"/>
      <c r="W932" s="27"/>
    </row>
    <row r="933" spans="1:23" ht="15" customHeight="1" x14ac:dyDescent="0.2">
      <c r="A933" s="37"/>
      <c r="B933" s="37"/>
      <c r="C933" s="37"/>
      <c r="D933" s="37"/>
      <c r="E933" s="37"/>
      <c r="F933" s="37"/>
      <c r="G933" s="37"/>
      <c r="H933" s="37"/>
      <c r="I933" s="37"/>
      <c r="J933" s="37"/>
      <c r="K933" s="37"/>
      <c r="L933" s="37"/>
      <c r="M933" s="37"/>
      <c r="N933" s="37"/>
      <c r="O933" s="37"/>
      <c r="P933" s="37"/>
      <c r="Q933" s="27"/>
      <c r="R933" s="27"/>
      <c r="S933" s="27"/>
      <c r="T933" s="27"/>
      <c r="U933" s="27"/>
      <c r="V933" s="27"/>
      <c r="W933" s="27"/>
    </row>
    <row r="934" spans="1:23" ht="15" customHeight="1" x14ac:dyDescent="0.2">
      <c r="A934" s="37"/>
      <c r="B934" s="37"/>
      <c r="C934" s="37"/>
      <c r="D934" s="37"/>
      <c r="E934" s="37"/>
      <c r="F934" s="37"/>
      <c r="G934" s="37"/>
      <c r="H934" s="37"/>
      <c r="I934" s="37"/>
      <c r="J934" s="37"/>
      <c r="K934" s="37"/>
      <c r="L934" s="37"/>
      <c r="M934" s="37"/>
      <c r="N934" s="37"/>
      <c r="O934" s="37"/>
      <c r="P934" s="37"/>
      <c r="Q934" s="27"/>
      <c r="R934" s="27"/>
      <c r="S934" s="27"/>
      <c r="T934" s="27"/>
      <c r="U934" s="27"/>
      <c r="V934" s="27"/>
      <c r="W934" s="27"/>
    </row>
    <row r="935" spans="1:23" ht="15" customHeight="1" x14ac:dyDescent="0.2">
      <c r="A935" s="37"/>
      <c r="B935" s="37"/>
      <c r="C935" s="37"/>
      <c r="D935" s="37"/>
      <c r="E935" s="37"/>
      <c r="F935" s="37"/>
      <c r="G935" s="37"/>
      <c r="H935" s="37"/>
      <c r="I935" s="37"/>
      <c r="J935" s="37"/>
      <c r="K935" s="37"/>
      <c r="L935" s="37"/>
      <c r="M935" s="37"/>
      <c r="N935" s="37"/>
      <c r="O935" s="37"/>
      <c r="P935" s="37"/>
      <c r="Q935" s="27"/>
      <c r="R935" s="27"/>
      <c r="S935" s="27"/>
      <c r="T935" s="27"/>
      <c r="U935" s="27"/>
      <c r="V935" s="27"/>
      <c r="W935" s="27"/>
    </row>
    <row r="936" spans="1:23" ht="15" customHeight="1" x14ac:dyDescent="0.2">
      <c r="A936" s="37"/>
      <c r="B936" s="37"/>
      <c r="C936" s="37"/>
      <c r="D936" s="37"/>
      <c r="E936" s="37"/>
      <c r="F936" s="37"/>
      <c r="G936" s="37"/>
      <c r="H936" s="37"/>
      <c r="I936" s="37"/>
      <c r="J936" s="37"/>
      <c r="K936" s="37"/>
      <c r="L936" s="37"/>
      <c r="M936" s="37"/>
      <c r="N936" s="37"/>
      <c r="O936" s="37"/>
      <c r="P936" s="37"/>
      <c r="Q936" s="27"/>
      <c r="R936" s="27"/>
      <c r="S936" s="27"/>
      <c r="T936" s="27"/>
      <c r="U936" s="27"/>
      <c r="V936" s="27"/>
      <c r="W936" s="27"/>
    </row>
    <row r="937" spans="1:23" ht="15" customHeight="1" x14ac:dyDescent="0.2">
      <c r="A937" s="37"/>
      <c r="B937" s="37"/>
      <c r="C937" s="37"/>
      <c r="D937" s="37"/>
      <c r="E937" s="37"/>
      <c r="F937" s="37"/>
      <c r="G937" s="37"/>
      <c r="H937" s="37"/>
      <c r="I937" s="37"/>
      <c r="J937" s="37"/>
      <c r="K937" s="37"/>
      <c r="L937" s="37"/>
      <c r="M937" s="37"/>
      <c r="N937" s="37"/>
      <c r="O937" s="37"/>
      <c r="P937" s="37"/>
      <c r="Q937" s="27"/>
      <c r="R937" s="27"/>
      <c r="S937" s="27"/>
      <c r="T937" s="27"/>
      <c r="U937" s="27"/>
      <c r="V937" s="27"/>
      <c r="W937" s="27"/>
    </row>
    <row r="938" spans="1:23" ht="15" customHeight="1" x14ac:dyDescent="0.2">
      <c r="A938" s="37"/>
      <c r="B938" s="37"/>
      <c r="C938" s="37"/>
      <c r="D938" s="37"/>
      <c r="E938" s="37"/>
      <c r="F938" s="37"/>
      <c r="G938" s="37"/>
      <c r="H938" s="37"/>
      <c r="I938" s="37"/>
      <c r="J938" s="37"/>
      <c r="K938" s="37"/>
      <c r="L938" s="37"/>
      <c r="M938" s="37"/>
      <c r="N938" s="37"/>
      <c r="O938" s="37"/>
      <c r="P938" s="37"/>
      <c r="Q938" s="27"/>
      <c r="R938" s="27"/>
      <c r="S938" s="27"/>
      <c r="T938" s="27"/>
      <c r="U938" s="27"/>
      <c r="V938" s="27"/>
      <c r="W938" s="27"/>
    </row>
    <row r="939" spans="1:23" ht="15" customHeight="1" x14ac:dyDescent="0.2">
      <c r="A939" s="37"/>
      <c r="B939" s="37"/>
      <c r="C939" s="37"/>
      <c r="D939" s="37"/>
      <c r="E939" s="37"/>
      <c r="F939" s="37"/>
      <c r="G939" s="37"/>
      <c r="H939" s="37"/>
      <c r="I939" s="37"/>
      <c r="J939" s="37"/>
      <c r="K939" s="37"/>
      <c r="L939" s="37"/>
      <c r="M939" s="37"/>
      <c r="N939" s="37"/>
      <c r="O939" s="37"/>
      <c r="P939" s="37"/>
      <c r="Q939" s="27"/>
      <c r="R939" s="27"/>
      <c r="S939" s="27"/>
      <c r="T939" s="27"/>
      <c r="U939" s="27"/>
      <c r="V939" s="27"/>
      <c r="W939" s="27"/>
    </row>
    <row r="940" spans="1:23" ht="15" customHeight="1" x14ac:dyDescent="0.2">
      <c r="A940" s="37"/>
      <c r="B940" s="37"/>
      <c r="C940" s="37"/>
      <c r="D940" s="37"/>
      <c r="E940" s="37"/>
      <c r="F940" s="37"/>
      <c r="G940" s="37"/>
      <c r="H940" s="37"/>
      <c r="I940" s="37"/>
      <c r="J940" s="37"/>
      <c r="K940" s="37"/>
      <c r="L940" s="37"/>
      <c r="M940" s="37"/>
      <c r="N940" s="37"/>
      <c r="O940" s="37"/>
      <c r="P940" s="37"/>
      <c r="Q940" s="27"/>
      <c r="R940" s="27"/>
      <c r="S940" s="27"/>
      <c r="T940" s="27"/>
      <c r="U940" s="27"/>
      <c r="V940" s="27"/>
      <c r="W940" s="27"/>
    </row>
    <row r="941" spans="1:23" ht="15" customHeight="1" x14ac:dyDescent="0.2">
      <c r="A941" s="37"/>
      <c r="B941" s="37"/>
      <c r="C941" s="37"/>
      <c r="D941" s="37"/>
      <c r="E941" s="37"/>
      <c r="F941" s="37"/>
      <c r="G941" s="37"/>
      <c r="H941" s="37"/>
      <c r="I941" s="37"/>
      <c r="J941" s="37"/>
      <c r="K941" s="37"/>
      <c r="L941" s="37"/>
      <c r="M941" s="37"/>
      <c r="N941" s="37"/>
      <c r="O941" s="37"/>
      <c r="P941" s="37"/>
      <c r="Q941" s="27"/>
      <c r="R941" s="27"/>
      <c r="S941" s="27"/>
      <c r="T941" s="27"/>
      <c r="U941" s="27"/>
      <c r="V941" s="27"/>
      <c r="W941" s="27"/>
    </row>
    <row r="942" spans="1:23" ht="15" customHeight="1" x14ac:dyDescent="0.2">
      <c r="A942" s="37"/>
      <c r="B942" s="37"/>
      <c r="C942" s="37"/>
      <c r="D942" s="37"/>
      <c r="E942" s="37"/>
      <c r="F942" s="37"/>
      <c r="G942" s="37"/>
      <c r="H942" s="37"/>
      <c r="I942" s="37"/>
      <c r="J942" s="37"/>
      <c r="K942" s="37"/>
      <c r="L942" s="37"/>
      <c r="M942" s="37"/>
      <c r="N942" s="37"/>
      <c r="O942" s="37"/>
      <c r="P942" s="37"/>
      <c r="Q942" s="27"/>
      <c r="R942" s="27"/>
      <c r="S942" s="27"/>
      <c r="T942" s="27"/>
      <c r="U942" s="27"/>
      <c r="V942" s="27"/>
      <c r="W942" s="27"/>
    </row>
    <row r="943" spans="1:23" ht="15" customHeight="1" x14ac:dyDescent="0.2">
      <c r="A943" s="37"/>
      <c r="B943" s="37"/>
      <c r="C943" s="37"/>
      <c r="D943" s="37"/>
      <c r="E943" s="37"/>
      <c r="F943" s="37"/>
      <c r="G943" s="37"/>
      <c r="H943" s="37"/>
      <c r="I943" s="37"/>
      <c r="J943" s="37"/>
      <c r="K943" s="37"/>
      <c r="L943" s="37"/>
      <c r="M943" s="37"/>
      <c r="N943" s="37"/>
      <c r="O943" s="37"/>
      <c r="P943" s="37"/>
      <c r="Q943" s="27"/>
      <c r="R943" s="27"/>
      <c r="S943" s="27"/>
      <c r="T943" s="27"/>
      <c r="U943" s="27"/>
      <c r="V943" s="27"/>
      <c r="W943" s="27"/>
    </row>
    <row r="944" spans="1:23" ht="15" customHeight="1" x14ac:dyDescent="0.2">
      <c r="A944" s="37"/>
      <c r="B944" s="37"/>
      <c r="C944" s="37"/>
      <c r="D944" s="37"/>
      <c r="E944" s="37"/>
      <c r="F944" s="37"/>
      <c r="G944" s="37"/>
      <c r="H944" s="37"/>
      <c r="I944" s="37"/>
      <c r="J944" s="37"/>
      <c r="K944" s="37"/>
      <c r="L944" s="37"/>
      <c r="M944" s="37"/>
      <c r="N944" s="37"/>
      <c r="O944" s="37"/>
      <c r="P944" s="37"/>
      <c r="Q944" s="27"/>
      <c r="R944" s="27"/>
      <c r="S944" s="27"/>
      <c r="T944" s="27"/>
      <c r="U944" s="27"/>
      <c r="V944" s="27"/>
      <c r="W944" s="27"/>
    </row>
    <row r="945" spans="1:23" ht="15" customHeight="1" x14ac:dyDescent="0.2">
      <c r="A945" s="37"/>
      <c r="B945" s="37"/>
      <c r="C945" s="37"/>
      <c r="D945" s="37"/>
      <c r="E945" s="37"/>
      <c r="F945" s="37"/>
      <c r="G945" s="37"/>
      <c r="H945" s="37"/>
      <c r="I945" s="37"/>
      <c r="J945" s="37"/>
      <c r="K945" s="37"/>
      <c r="L945" s="37"/>
      <c r="M945" s="37"/>
      <c r="N945" s="37"/>
      <c r="O945" s="37"/>
      <c r="P945" s="37"/>
      <c r="Q945" s="27"/>
      <c r="R945" s="27"/>
      <c r="S945" s="27"/>
      <c r="T945" s="27"/>
      <c r="U945" s="27"/>
      <c r="V945" s="27"/>
      <c r="W945" s="27"/>
    </row>
    <row r="946" spans="1:23" ht="15" customHeight="1" x14ac:dyDescent="0.2">
      <c r="A946" s="37"/>
      <c r="B946" s="37"/>
      <c r="C946" s="37"/>
      <c r="D946" s="37"/>
      <c r="E946" s="37"/>
      <c r="F946" s="37"/>
      <c r="G946" s="37"/>
      <c r="H946" s="37"/>
      <c r="I946" s="37"/>
      <c r="J946" s="37"/>
      <c r="K946" s="37"/>
      <c r="L946" s="37"/>
      <c r="M946" s="37"/>
      <c r="N946" s="37"/>
      <c r="O946" s="37"/>
      <c r="P946" s="37"/>
      <c r="Q946" s="27"/>
      <c r="R946" s="27"/>
      <c r="S946" s="27"/>
      <c r="T946" s="27"/>
      <c r="U946" s="27"/>
      <c r="V946" s="27"/>
      <c r="W946" s="27"/>
    </row>
    <row r="947" spans="1:23" ht="15" customHeight="1" x14ac:dyDescent="0.2">
      <c r="A947" s="37"/>
      <c r="B947" s="37"/>
      <c r="C947" s="37"/>
      <c r="D947" s="37"/>
      <c r="E947" s="37"/>
      <c r="F947" s="37"/>
      <c r="G947" s="37"/>
      <c r="H947" s="37"/>
      <c r="I947" s="37"/>
      <c r="J947" s="37"/>
      <c r="K947" s="37"/>
      <c r="L947" s="37"/>
      <c r="M947" s="37"/>
      <c r="N947" s="37"/>
      <c r="O947" s="37"/>
      <c r="P947" s="37"/>
      <c r="Q947" s="27"/>
      <c r="R947" s="27"/>
      <c r="S947" s="27"/>
      <c r="T947" s="27"/>
      <c r="U947" s="27"/>
      <c r="V947" s="27"/>
      <c r="W947" s="27"/>
    </row>
    <row r="948" spans="1:23" ht="15" customHeight="1" x14ac:dyDescent="0.2">
      <c r="A948" s="37"/>
      <c r="B948" s="37"/>
      <c r="C948" s="37"/>
      <c r="D948" s="37"/>
      <c r="E948" s="37"/>
      <c r="F948" s="37"/>
      <c r="G948" s="37"/>
      <c r="H948" s="37"/>
      <c r="I948" s="37"/>
      <c r="J948" s="37"/>
      <c r="K948" s="37"/>
      <c r="L948" s="37"/>
      <c r="M948" s="37"/>
      <c r="N948" s="37"/>
      <c r="O948" s="37"/>
      <c r="P948" s="37"/>
      <c r="Q948" s="27"/>
      <c r="R948" s="27"/>
      <c r="S948" s="27"/>
      <c r="T948" s="27"/>
      <c r="U948" s="27"/>
      <c r="V948" s="27"/>
      <c r="W948" s="27"/>
    </row>
    <row r="949" spans="1:23" ht="15" customHeight="1" x14ac:dyDescent="0.2">
      <c r="A949" s="37"/>
      <c r="B949" s="37"/>
      <c r="C949" s="37"/>
      <c r="D949" s="37"/>
      <c r="E949" s="37"/>
      <c r="F949" s="37"/>
      <c r="G949" s="37"/>
      <c r="H949" s="37"/>
      <c r="I949" s="37"/>
      <c r="J949" s="37"/>
      <c r="K949" s="37"/>
      <c r="L949" s="37"/>
      <c r="M949" s="37"/>
      <c r="N949" s="37"/>
      <c r="O949" s="37"/>
      <c r="P949" s="37"/>
      <c r="Q949" s="27"/>
      <c r="R949" s="27"/>
      <c r="S949" s="27"/>
      <c r="T949" s="27"/>
      <c r="U949" s="27"/>
      <c r="V949" s="27"/>
      <c r="W949" s="27"/>
    </row>
    <row r="950" spans="1:23" ht="15" customHeight="1" x14ac:dyDescent="0.2">
      <c r="A950" s="37"/>
      <c r="B950" s="37"/>
      <c r="C950" s="37"/>
      <c r="D950" s="37"/>
      <c r="E950" s="37"/>
      <c r="F950" s="37"/>
      <c r="G950" s="37"/>
      <c r="H950" s="37"/>
      <c r="I950" s="37"/>
      <c r="J950" s="37"/>
      <c r="K950" s="37"/>
      <c r="L950" s="37"/>
      <c r="M950" s="37"/>
      <c r="N950" s="37"/>
      <c r="O950" s="37"/>
      <c r="P950" s="37"/>
      <c r="Q950" s="27"/>
      <c r="R950" s="27"/>
      <c r="S950" s="27"/>
      <c r="T950" s="27"/>
      <c r="U950" s="27"/>
      <c r="V950" s="27"/>
      <c r="W950" s="27"/>
    </row>
    <row r="951" spans="1:23" ht="15" customHeight="1" x14ac:dyDescent="0.2">
      <c r="A951" s="37"/>
      <c r="B951" s="37"/>
      <c r="C951" s="37"/>
      <c r="D951" s="37"/>
      <c r="E951" s="37"/>
      <c r="F951" s="37"/>
      <c r="G951" s="37"/>
      <c r="H951" s="37"/>
      <c r="I951" s="37"/>
      <c r="J951" s="37"/>
      <c r="K951" s="37"/>
      <c r="L951" s="37"/>
      <c r="M951" s="37"/>
      <c r="N951" s="37"/>
      <c r="O951" s="37"/>
      <c r="P951" s="37"/>
      <c r="Q951" s="27"/>
      <c r="R951" s="27"/>
      <c r="S951" s="27"/>
      <c r="T951" s="27"/>
      <c r="U951" s="27"/>
      <c r="V951" s="27"/>
      <c r="W951" s="27"/>
    </row>
    <row r="952" spans="1:23" ht="15" customHeight="1" x14ac:dyDescent="0.2">
      <c r="A952" s="37"/>
      <c r="B952" s="37"/>
      <c r="C952" s="37"/>
      <c r="D952" s="37"/>
      <c r="E952" s="37"/>
      <c r="F952" s="37"/>
      <c r="G952" s="37"/>
      <c r="H952" s="37"/>
      <c r="I952" s="37"/>
      <c r="J952" s="37"/>
      <c r="K952" s="37"/>
      <c r="L952" s="37"/>
      <c r="M952" s="37"/>
      <c r="N952" s="37"/>
      <c r="O952" s="37"/>
      <c r="P952" s="37"/>
      <c r="Q952" s="27"/>
      <c r="R952" s="27"/>
      <c r="S952" s="27"/>
      <c r="T952" s="27"/>
      <c r="U952" s="27"/>
      <c r="V952" s="27"/>
      <c r="W952" s="27"/>
    </row>
    <row r="953" spans="1:23" ht="15" customHeight="1" x14ac:dyDescent="0.2">
      <c r="A953" s="37"/>
      <c r="B953" s="37"/>
      <c r="C953" s="37"/>
      <c r="D953" s="37"/>
      <c r="E953" s="37"/>
      <c r="F953" s="37"/>
      <c r="G953" s="37"/>
      <c r="H953" s="37"/>
      <c r="I953" s="37"/>
      <c r="J953" s="37"/>
      <c r="K953" s="37"/>
      <c r="L953" s="37"/>
      <c r="M953" s="37"/>
      <c r="N953" s="37"/>
      <c r="O953" s="37"/>
      <c r="P953" s="37"/>
      <c r="Q953" s="27"/>
      <c r="R953" s="27"/>
      <c r="S953" s="27"/>
      <c r="T953" s="27"/>
      <c r="U953" s="27"/>
      <c r="V953" s="27"/>
      <c r="W953" s="27"/>
    </row>
    <row r="954" spans="1:23" ht="15" customHeight="1" x14ac:dyDescent="0.2">
      <c r="A954" s="37"/>
      <c r="B954" s="37"/>
      <c r="C954" s="37"/>
      <c r="D954" s="37"/>
      <c r="E954" s="37"/>
      <c r="F954" s="37"/>
      <c r="G954" s="37"/>
      <c r="H954" s="37"/>
      <c r="I954" s="37"/>
      <c r="J954" s="37"/>
      <c r="K954" s="37"/>
      <c r="L954" s="37"/>
      <c r="M954" s="37"/>
      <c r="N954" s="37"/>
      <c r="O954" s="37"/>
      <c r="P954" s="37"/>
      <c r="Q954" s="27"/>
      <c r="R954" s="27"/>
      <c r="S954" s="27"/>
      <c r="T954" s="27"/>
      <c r="U954" s="27"/>
      <c r="V954" s="27"/>
      <c r="W954" s="27"/>
    </row>
    <row r="955" spans="1:23" ht="15" customHeight="1" x14ac:dyDescent="0.2">
      <c r="A955" s="37"/>
      <c r="B955" s="37"/>
      <c r="C955" s="37"/>
      <c r="D955" s="37"/>
      <c r="E955" s="37"/>
      <c r="F955" s="37"/>
      <c r="G955" s="37"/>
      <c r="H955" s="37"/>
      <c r="I955" s="37"/>
      <c r="J955" s="37"/>
      <c r="K955" s="37"/>
      <c r="L955" s="37"/>
      <c r="M955" s="37"/>
      <c r="N955" s="37"/>
      <c r="O955" s="37"/>
      <c r="P955" s="37"/>
      <c r="Q955" s="27"/>
      <c r="R955" s="27"/>
      <c r="S955" s="27"/>
      <c r="T955" s="27"/>
      <c r="U955" s="27"/>
      <c r="V955" s="27"/>
      <c r="W955" s="27"/>
    </row>
    <row r="956" spans="1:23" ht="15" customHeight="1" x14ac:dyDescent="0.2">
      <c r="A956" s="37"/>
      <c r="B956" s="37"/>
      <c r="C956" s="37"/>
      <c r="D956" s="37"/>
      <c r="E956" s="37"/>
      <c r="F956" s="37"/>
      <c r="G956" s="37"/>
      <c r="H956" s="37"/>
      <c r="I956" s="37"/>
      <c r="J956" s="37"/>
      <c r="K956" s="37"/>
      <c r="L956" s="37"/>
      <c r="M956" s="37"/>
      <c r="N956" s="37"/>
      <c r="O956" s="37"/>
      <c r="P956" s="37"/>
      <c r="Q956" s="27"/>
      <c r="R956" s="27"/>
      <c r="S956" s="27"/>
      <c r="T956" s="27"/>
      <c r="U956" s="27"/>
      <c r="V956" s="27"/>
      <c r="W956" s="27"/>
    </row>
    <row r="957" spans="1:23" ht="15" customHeight="1" x14ac:dyDescent="0.2">
      <c r="A957" s="37"/>
      <c r="B957" s="37"/>
      <c r="C957" s="37"/>
      <c r="D957" s="37"/>
      <c r="E957" s="37"/>
      <c r="F957" s="37"/>
      <c r="G957" s="37"/>
      <c r="H957" s="37"/>
      <c r="I957" s="37"/>
      <c r="J957" s="37"/>
      <c r="K957" s="37"/>
      <c r="L957" s="37"/>
      <c r="M957" s="37"/>
      <c r="N957" s="37"/>
      <c r="O957" s="37"/>
      <c r="P957" s="37"/>
      <c r="Q957" s="27"/>
      <c r="R957" s="27"/>
      <c r="S957" s="27"/>
      <c r="T957" s="27"/>
      <c r="U957" s="27"/>
      <c r="V957" s="27"/>
      <c r="W957" s="27"/>
    </row>
    <row r="958" spans="1:23" ht="15" customHeight="1" x14ac:dyDescent="0.2">
      <c r="A958" s="37"/>
      <c r="B958" s="37"/>
      <c r="C958" s="37"/>
      <c r="D958" s="37"/>
      <c r="E958" s="37"/>
      <c r="F958" s="37"/>
      <c r="G958" s="37"/>
      <c r="H958" s="37"/>
      <c r="I958" s="37"/>
      <c r="J958" s="37"/>
      <c r="K958" s="37"/>
      <c r="L958" s="37"/>
      <c r="M958" s="37"/>
      <c r="N958" s="37"/>
      <c r="O958" s="37"/>
      <c r="P958" s="37"/>
      <c r="Q958" s="27"/>
      <c r="R958" s="27"/>
      <c r="S958" s="27"/>
      <c r="T958" s="27"/>
      <c r="U958" s="27"/>
      <c r="V958" s="27"/>
      <c r="W958" s="27"/>
    </row>
    <row r="959" spans="1:23" ht="15" customHeight="1" x14ac:dyDescent="0.2">
      <c r="A959" s="37"/>
      <c r="B959" s="37"/>
      <c r="C959" s="37"/>
      <c r="D959" s="37"/>
      <c r="E959" s="37"/>
      <c r="F959" s="37"/>
      <c r="G959" s="37"/>
      <c r="H959" s="37"/>
      <c r="I959" s="37"/>
      <c r="J959" s="37"/>
      <c r="K959" s="37"/>
      <c r="L959" s="37"/>
      <c r="M959" s="37"/>
      <c r="N959" s="37"/>
      <c r="O959" s="37"/>
      <c r="P959" s="37"/>
      <c r="Q959" s="27"/>
      <c r="R959" s="27"/>
      <c r="S959" s="27"/>
      <c r="T959" s="27"/>
      <c r="U959" s="27"/>
      <c r="V959" s="27"/>
      <c r="W959" s="27"/>
    </row>
    <row r="960" spans="1:23" ht="15" customHeight="1" x14ac:dyDescent="0.2">
      <c r="A960" s="37"/>
      <c r="B960" s="37"/>
      <c r="C960" s="37"/>
      <c r="D960" s="37"/>
      <c r="E960" s="37"/>
      <c r="F960" s="37"/>
      <c r="G960" s="37"/>
      <c r="H960" s="37"/>
      <c r="I960" s="37"/>
      <c r="J960" s="37"/>
      <c r="K960" s="37"/>
      <c r="L960" s="37"/>
      <c r="M960" s="37"/>
      <c r="N960" s="37"/>
      <c r="O960" s="37"/>
      <c r="P960" s="37"/>
      <c r="Q960" s="27"/>
      <c r="R960" s="27"/>
      <c r="S960" s="27"/>
      <c r="T960" s="27"/>
      <c r="U960" s="27"/>
      <c r="V960" s="27"/>
      <c r="W960" s="27"/>
    </row>
    <row r="961" spans="1:23" ht="15" customHeight="1" x14ac:dyDescent="0.2">
      <c r="A961" s="37"/>
      <c r="B961" s="37"/>
      <c r="C961" s="37"/>
      <c r="D961" s="37"/>
      <c r="E961" s="37"/>
      <c r="F961" s="37"/>
      <c r="G961" s="37"/>
      <c r="H961" s="37"/>
      <c r="I961" s="37"/>
      <c r="J961" s="37"/>
      <c r="K961" s="37"/>
      <c r="L961" s="37"/>
      <c r="M961" s="37"/>
      <c r="N961" s="37"/>
      <c r="O961" s="37"/>
      <c r="P961" s="37"/>
      <c r="Q961" s="27"/>
      <c r="R961" s="27"/>
      <c r="S961" s="27"/>
      <c r="T961" s="27"/>
      <c r="U961" s="27"/>
      <c r="V961" s="27"/>
      <c r="W961" s="27"/>
    </row>
    <row r="962" spans="1:23" ht="15" customHeight="1" x14ac:dyDescent="0.2">
      <c r="A962" s="37"/>
      <c r="B962" s="37"/>
      <c r="C962" s="37"/>
      <c r="D962" s="37"/>
      <c r="E962" s="37"/>
      <c r="F962" s="37"/>
      <c r="G962" s="37"/>
      <c r="H962" s="37"/>
      <c r="I962" s="37"/>
      <c r="J962" s="37"/>
      <c r="K962" s="37"/>
      <c r="L962" s="37"/>
      <c r="M962" s="37"/>
      <c r="N962" s="37"/>
      <c r="O962" s="37"/>
      <c r="P962" s="37"/>
      <c r="Q962" s="27"/>
      <c r="R962" s="27"/>
      <c r="S962" s="27"/>
      <c r="T962" s="27"/>
      <c r="U962" s="27"/>
      <c r="V962" s="27"/>
      <c r="W962" s="27"/>
    </row>
    <row r="963" spans="1:23" ht="15" customHeight="1" x14ac:dyDescent="0.2">
      <c r="A963" s="37"/>
      <c r="B963" s="37"/>
      <c r="C963" s="37"/>
      <c r="D963" s="37"/>
      <c r="E963" s="37"/>
      <c r="F963" s="37"/>
      <c r="G963" s="37"/>
      <c r="H963" s="37"/>
      <c r="I963" s="37"/>
      <c r="J963" s="37"/>
      <c r="K963" s="37"/>
      <c r="L963" s="37"/>
      <c r="M963" s="37"/>
      <c r="N963" s="37"/>
      <c r="O963" s="37"/>
      <c r="P963" s="37"/>
      <c r="Q963" s="27"/>
      <c r="R963" s="27"/>
      <c r="S963" s="27"/>
      <c r="T963" s="27"/>
      <c r="U963" s="27"/>
      <c r="V963" s="27"/>
      <c r="W963" s="27"/>
    </row>
    <row r="964" spans="1:23" ht="15" customHeight="1" x14ac:dyDescent="0.2">
      <c r="A964" s="37"/>
      <c r="B964" s="37"/>
      <c r="C964" s="37"/>
      <c r="D964" s="37"/>
      <c r="E964" s="37"/>
      <c r="F964" s="37"/>
      <c r="G964" s="37"/>
      <c r="H964" s="37"/>
      <c r="I964" s="37"/>
      <c r="J964" s="37"/>
      <c r="K964" s="37"/>
      <c r="L964" s="37"/>
      <c r="M964" s="37"/>
      <c r="N964" s="37"/>
      <c r="O964" s="37"/>
      <c r="P964" s="37"/>
      <c r="Q964" s="27"/>
      <c r="R964" s="27"/>
      <c r="S964" s="27"/>
      <c r="T964" s="27"/>
      <c r="U964" s="27"/>
      <c r="V964" s="27"/>
      <c r="W964" s="27"/>
    </row>
    <row r="965" spans="1:23" ht="15" customHeight="1" x14ac:dyDescent="0.2">
      <c r="A965" s="37"/>
      <c r="B965" s="37"/>
      <c r="C965" s="37"/>
      <c r="D965" s="37"/>
      <c r="E965" s="37"/>
      <c r="F965" s="37"/>
      <c r="G965" s="37"/>
      <c r="H965" s="37"/>
      <c r="I965" s="37"/>
      <c r="J965" s="37"/>
      <c r="K965" s="37"/>
      <c r="L965" s="37"/>
      <c r="M965" s="37"/>
      <c r="N965" s="37"/>
      <c r="O965" s="37"/>
      <c r="P965" s="37"/>
      <c r="Q965" s="27"/>
      <c r="R965" s="27"/>
      <c r="S965" s="27"/>
      <c r="T965" s="27"/>
      <c r="U965" s="27"/>
      <c r="V965" s="27"/>
      <c r="W965" s="27"/>
    </row>
    <row r="966" spans="1:23" ht="15" customHeight="1" x14ac:dyDescent="0.2">
      <c r="A966" s="37"/>
      <c r="B966" s="37"/>
      <c r="C966" s="37"/>
      <c r="D966" s="37"/>
      <c r="E966" s="37"/>
      <c r="F966" s="37"/>
      <c r="G966" s="37"/>
      <c r="H966" s="37"/>
      <c r="I966" s="37"/>
      <c r="J966" s="37"/>
      <c r="K966" s="37"/>
      <c r="L966" s="37"/>
      <c r="M966" s="37"/>
      <c r="N966" s="37"/>
      <c r="O966" s="37"/>
      <c r="P966" s="37"/>
      <c r="Q966" s="27"/>
      <c r="R966" s="27"/>
      <c r="S966" s="27"/>
      <c r="T966" s="27"/>
      <c r="U966" s="27"/>
      <c r="V966" s="27"/>
      <c r="W966" s="27"/>
    </row>
    <row r="967" spans="1:23" ht="15" customHeight="1" x14ac:dyDescent="0.2">
      <c r="A967" s="37"/>
      <c r="B967" s="37"/>
      <c r="C967" s="37"/>
      <c r="D967" s="37"/>
      <c r="E967" s="37"/>
      <c r="F967" s="37"/>
      <c r="G967" s="37"/>
      <c r="H967" s="37"/>
      <c r="I967" s="37"/>
      <c r="J967" s="37"/>
      <c r="K967" s="37"/>
      <c r="L967" s="37"/>
      <c r="M967" s="37"/>
      <c r="N967" s="37"/>
      <c r="O967" s="37"/>
      <c r="P967" s="37"/>
      <c r="Q967" s="27"/>
      <c r="R967" s="27"/>
      <c r="S967" s="27"/>
      <c r="T967" s="27"/>
      <c r="U967" s="27"/>
      <c r="V967" s="27"/>
      <c r="W967" s="27"/>
    </row>
    <row r="968" spans="1:23" ht="15" customHeight="1" x14ac:dyDescent="0.2">
      <c r="A968" s="37"/>
      <c r="B968" s="37"/>
      <c r="C968" s="37"/>
      <c r="D968" s="37"/>
      <c r="E968" s="37"/>
      <c r="F968" s="37"/>
      <c r="G968" s="37"/>
      <c r="H968" s="37"/>
      <c r="I968" s="37"/>
      <c r="J968" s="37"/>
      <c r="K968" s="37"/>
      <c r="L968" s="37"/>
      <c r="M968" s="37"/>
      <c r="N968" s="37"/>
      <c r="O968" s="37"/>
      <c r="P968" s="37"/>
      <c r="Q968" s="27"/>
      <c r="R968" s="27"/>
      <c r="S968" s="27"/>
      <c r="T968" s="27"/>
      <c r="U968" s="27"/>
      <c r="V968" s="27"/>
      <c r="W968" s="27"/>
    </row>
    <row r="969" spans="1:23" ht="15" customHeight="1" x14ac:dyDescent="0.2">
      <c r="A969" s="37"/>
      <c r="B969" s="37"/>
      <c r="C969" s="37"/>
      <c r="D969" s="37"/>
      <c r="E969" s="37"/>
      <c r="F969" s="37"/>
      <c r="G969" s="37"/>
      <c r="H969" s="37"/>
      <c r="I969" s="37"/>
      <c r="J969" s="37"/>
      <c r="K969" s="37"/>
      <c r="L969" s="37"/>
      <c r="M969" s="37"/>
      <c r="N969" s="37"/>
      <c r="O969" s="37"/>
      <c r="P969" s="37"/>
      <c r="Q969" s="27"/>
      <c r="R969" s="27"/>
      <c r="S969" s="27"/>
      <c r="T969" s="27"/>
      <c r="U969" s="27"/>
      <c r="V969" s="27"/>
      <c r="W969" s="27"/>
    </row>
    <row r="970" spans="1:23" ht="15" customHeight="1" x14ac:dyDescent="0.2">
      <c r="A970" s="37"/>
      <c r="B970" s="37"/>
      <c r="C970" s="37"/>
      <c r="D970" s="37"/>
      <c r="E970" s="37"/>
      <c r="F970" s="37"/>
      <c r="G970" s="37"/>
      <c r="H970" s="37"/>
      <c r="I970" s="37"/>
      <c r="J970" s="37"/>
      <c r="K970" s="37"/>
      <c r="L970" s="37"/>
      <c r="M970" s="37"/>
      <c r="N970" s="37"/>
      <c r="O970" s="37"/>
      <c r="P970" s="37"/>
      <c r="Q970" s="27"/>
      <c r="R970" s="27"/>
      <c r="S970" s="27"/>
      <c r="T970" s="27"/>
      <c r="U970" s="27"/>
      <c r="V970" s="27"/>
      <c r="W970" s="27"/>
    </row>
    <row r="971" spans="1:23" ht="15" customHeight="1" x14ac:dyDescent="0.2">
      <c r="A971" s="37"/>
      <c r="B971" s="37"/>
      <c r="C971" s="37"/>
      <c r="D971" s="37"/>
      <c r="E971" s="37"/>
      <c r="F971" s="37"/>
      <c r="G971" s="37"/>
      <c r="H971" s="37"/>
      <c r="I971" s="37"/>
      <c r="J971" s="37"/>
      <c r="K971" s="37"/>
      <c r="L971" s="37"/>
      <c r="M971" s="37"/>
      <c r="N971" s="37"/>
      <c r="O971" s="37"/>
      <c r="P971" s="37"/>
      <c r="Q971" s="27"/>
      <c r="R971" s="27"/>
      <c r="S971" s="27"/>
      <c r="T971" s="27"/>
      <c r="U971" s="27"/>
      <c r="V971" s="27"/>
      <c r="W971" s="27"/>
    </row>
    <row r="972" spans="1:23" ht="15" customHeight="1" x14ac:dyDescent="0.2">
      <c r="A972" s="37"/>
      <c r="B972" s="37"/>
      <c r="C972" s="37"/>
      <c r="D972" s="37"/>
      <c r="E972" s="37"/>
      <c r="F972" s="37"/>
      <c r="G972" s="37"/>
      <c r="H972" s="37"/>
      <c r="I972" s="37"/>
      <c r="J972" s="37"/>
      <c r="K972" s="37"/>
      <c r="L972" s="37"/>
      <c r="M972" s="37"/>
      <c r="N972" s="37"/>
      <c r="O972" s="37"/>
      <c r="P972" s="37"/>
      <c r="Q972" s="27"/>
      <c r="R972" s="27"/>
      <c r="S972" s="27"/>
      <c r="T972" s="27"/>
      <c r="U972" s="27"/>
      <c r="V972" s="27"/>
      <c r="W972" s="27"/>
    </row>
    <row r="973" spans="1:23" ht="15" customHeight="1" x14ac:dyDescent="0.2">
      <c r="A973" s="37"/>
      <c r="B973" s="37"/>
      <c r="C973" s="37"/>
      <c r="D973" s="37"/>
      <c r="E973" s="37"/>
      <c r="F973" s="37"/>
      <c r="G973" s="37"/>
      <c r="H973" s="37"/>
      <c r="I973" s="37"/>
      <c r="J973" s="37"/>
      <c r="K973" s="37"/>
      <c r="L973" s="37"/>
      <c r="M973" s="37"/>
      <c r="N973" s="37"/>
      <c r="O973" s="37"/>
      <c r="P973" s="37"/>
      <c r="Q973" s="27"/>
      <c r="R973" s="27"/>
      <c r="S973" s="27"/>
      <c r="T973" s="27"/>
      <c r="U973" s="27"/>
      <c r="V973" s="27"/>
      <c r="W973" s="27"/>
    </row>
    <row r="974" spans="1:23" ht="15" customHeight="1" x14ac:dyDescent="0.2">
      <c r="A974" s="37"/>
      <c r="B974" s="37"/>
      <c r="C974" s="37"/>
      <c r="D974" s="37"/>
      <c r="E974" s="37"/>
      <c r="F974" s="37"/>
      <c r="G974" s="37"/>
      <c r="H974" s="37"/>
      <c r="I974" s="37"/>
      <c r="J974" s="37"/>
      <c r="K974" s="37"/>
      <c r="L974" s="37"/>
      <c r="M974" s="37"/>
      <c r="N974" s="37"/>
      <c r="O974" s="37"/>
      <c r="P974" s="37"/>
      <c r="Q974" s="27"/>
      <c r="R974" s="27"/>
      <c r="S974" s="27"/>
      <c r="T974" s="27"/>
      <c r="U974" s="27"/>
      <c r="V974" s="27"/>
      <c r="W974" s="27"/>
    </row>
    <row r="975" spans="1:23" ht="15" customHeight="1" x14ac:dyDescent="0.2">
      <c r="A975" s="37"/>
      <c r="B975" s="37"/>
      <c r="C975" s="37"/>
      <c r="D975" s="37"/>
      <c r="E975" s="37"/>
      <c r="F975" s="37"/>
      <c r="G975" s="37"/>
      <c r="H975" s="37"/>
      <c r="I975" s="37"/>
      <c r="J975" s="37"/>
      <c r="K975" s="37"/>
      <c r="L975" s="37"/>
      <c r="M975" s="37"/>
      <c r="N975" s="37"/>
      <c r="O975" s="37"/>
      <c r="P975" s="37"/>
      <c r="Q975" s="27"/>
      <c r="R975" s="27"/>
      <c r="S975" s="27"/>
      <c r="T975" s="27"/>
      <c r="U975" s="27"/>
      <c r="V975" s="27"/>
      <c r="W975" s="27"/>
    </row>
    <row r="976" spans="1:23" ht="15" customHeight="1" x14ac:dyDescent="0.2">
      <c r="A976" s="37"/>
      <c r="B976" s="37"/>
      <c r="C976" s="37"/>
      <c r="D976" s="37"/>
      <c r="E976" s="37"/>
      <c r="F976" s="37"/>
      <c r="G976" s="37"/>
      <c r="H976" s="37"/>
      <c r="I976" s="37"/>
      <c r="J976" s="37"/>
      <c r="K976" s="37"/>
      <c r="L976" s="37"/>
      <c r="M976" s="37"/>
      <c r="N976" s="37"/>
      <c r="O976" s="37"/>
      <c r="P976" s="37"/>
      <c r="Q976" s="27"/>
      <c r="R976" s="27"/>
      <c r="S976" s="27"/>
      <c r="T976" s="27"/>
      <c r="U976" s="27"/>
      <c r="V976" s="27"/>
      <c r="W976" s="27"/>
    </row>
    <row r="977" spans="1:23" ht="15" customHeight="1" x14ac:dyDescent="0.2">
      <c r="A977" s="37"/>
      <c r="B977" s="37"/>
      <c r="C977" s="37"/>
      <c r="D977" s="37"/>
      <c r="E977" s="37"/>
      <c r="F977" s="37"/>
      <c r="G977" s="37"/>
      <c r="H977" s="37"/>
      <c r="I977" s="37"/>
      <c r="J977" s="37"/>
      <c r="K977" s="37"/>
      <c r="L977" s="37"/>
      <c r="M977" s="37"/>
      <c r="N977" s="37"/>
      <c r="O977" s="37"/>
      <c r="P977" s="37"/>
      <c r="Q977" s="27"/>
      <c r="R977" s="27"/>
      <c r="S977" s="27"/>
      <c r="T977" s="27"/>
      <c r="U977" s="27"/>
      <c r="V977" s="27"/>
      <c r="W977" s="27"/>
    </row>
    <row r="978" spans="1:23" ht="15" customHeight="1" x14ac:dyDescent="0.2">
      <c r="A978" s="37"/>
      <c r="B978" s="37"/>
      <c r="C978" s="37"/>
      <c r="D978" s="37"/>
      <c r="E978" s="37"/>
      <c r="F978" s="37"/>
      <c r="G978" s="37"/>
      <c r="H978" s="37"/>
      <c r="I978" s="37"/>
      <c r="J978" s="37"/>
      <c r="K978" s="37"/>
      <c r="L978" s="37"/>
      <c r="M978" s="37"/>
      <c r="N978" s="37"/>
      <c r="O978" s="37"/>
      <c r="P978" s="37"/>
      <c r="Q978" s="27"/>
      <c r="R978" s="27"/>
      <c r="S978" s="27"/>
      <c r="T978" s="27"/>
      <c r="U978" s="27"/>
      <c r="V978" s="27"/>
      <c r="W978" s="27"/>
    </row>
    <row r="979" spans="1:23" ht="15" customHeight="1" x14ac:dyDescent="0.2">
      <c r="A979" s="37"/>
      <c r="B979" s="37"/>
      <c r="C979" s="37"/>
      <c r="D979" s="37"/>
      <c r="E979" s="37"/>
      <c r="F979" s="37"/>
      <c r="G979" s="37"/>
      <c r="H979" s="37"/>
      <c r="I979" s="37"/>
      <c r="J979" s="37"/>
      <c r="K979" s="37"/>
      <c r="L979" s="37"/>
      <c r="M979" s="37"/>
      <c r="N979" s="37"/>
      <c r="O979" s="37"/>
      <c r="P979" s="37"/>
      <c r="Q979" s="27"/>
      <c r="R979" s="27"/>
      <c r="S979" s="27"/>
      <c r="T979" s="27"/>
      <c r="U979" s="27"/>
      <c r="V979" s="27"/>
      <c r="W979" s="27"/>
    </row>
    <row r="980" spans="1:23" ht="15" customHeight="1" x14ac:dyDescent="0.2">
      <c r="A980" s="37"/>
      <c r="B980" s="37"/>
      <c r="C980" s="37"/>
      <c r="D980" s="37"/>
      <c r="E980" s="37"/>
      <c r="F980" s="37"/>
      <c r="G980" s="37"/>
      <c r="H980" s="37"/>
      <c r="I980" s="37"/>
      <c r="J980" s="37"/>
      <c r="K980" s="37"/>
      <c r="L980" s="37"/>
      <c r="M980" s="37"/>
      <c r="N980" s="37"/>
      <c r="O980" s="37"/>
      <c r="P980" s="37"/>
      <c r="Q980" s="27"/>
      <c r="R980" s="27"/>
      <c r="S980" s="27"/>
      <c r="T980" s="27"/>
      <c r="U980" s="27"/>
      <c r="V980" s="27"/>
      <c r="W980" s="27"/>
    </row>
    <row r="981" spans="1:23" ht="15" customHeight="1" x14ac:dyDescent="0.2">
      <c r="A981" s="37"/>
      <c r="B981" s="37"/>
      <c r="C981" s="37"/>
      <c r="D981" s="37"/>
      <c r="E981" s="37"/>
      <c r="F981" s="37"/>
      <c r="G981" s="37"/>
      <c r="H981" s="37"/>
      <c r="I981" s="37"/>
      <c r="J981" s="37"/>
      <c r="K981" s="37"/>
      <c r="L981" s="37"/>
      <c r="M981" s="37"/>
      <c r="N981" s="37"/>
      <c r="O981" s="37"/>
      <c r="P981" s="37"/>
      <c r="Q981" s="27"/>
      <c r="R981" s="27"/>
      <c r="S981" s="27"/>
      <c r="T981" s="27"/>
      <c r="U981" s="27"/>
      <c r="V981" s="27"/>
      <c r="W981" s="27"/>
    </row>
    <row r="982" spans="1:23" ht="15" customHeight="1" x14ac:dyDescent="0.2">
      <c r="A982" s="37"/>
      <c r="B982" s="37"/>
      <c r="C982" s="37"/>
      <c r="D982" s="37"/>
      <c r="E982" s="37"/>
      <c r="F982" s="37"/>
      <c r="G982" s="37"/>
      <c r="H982" s="37"/>
      <c r="I982" s="37"/>
      <c r="J982" s="37"/>
      <c r="K982" s="37"/>
      <c r="L982" s="37"/>
      <c r="M982" s="37"/>
      <c r="N982" s="37"/>
      <c r="O982" s="37"/>
      <c r="P982" s="37"/>
      <c r="Q982" s="27"/>
      <c r="R982" s="27"/>
      <c r="S982" s="27"/>
      <c r="T982" s="27"/>
      <c r="U982" s="27"/>
      <c r="V982" s="27"/>
      <c r="W982" s="27"/>
    </row>
    <row r="983" spans="1:23" ht="15" customHeight="1" x14ac:dyDescent="0.2">
      <c r="A983" s="37"/>
      <c r="B983" s="37"/>
      <c r="C983" s="37"/>
      <c r="D983" s="37"/>
      <c r="E983" s="37"/>
      <c r="F983" s="37"/>
      <c r="G983" s="37"/>
      <c r="H983" s="37"/>
      <c r="I983" s="37"/>
      <c r="J983" s="37"/>
      <c r="K983" s="37"/>
      <c r="L983" s="37"/>
      <c r="M983" s="37"/>
      <c r="N983" s="37"/>
      <c r="O983" s="37"/>
      <c r="P983" s="37"/>
      <c r="Q983" s="27"/>
      <c r="R983" s="27"/>
      <c r="S983" s="27"/>
      <c r="T983" s="27"/>
      <c r="U983" s="27"/>
      <c r="V983" s="27"/>
      <c r="W983" s="27"/>
    </row>
    <row r="984" spans="1:23" ht="15" customHeight="1" x14ac:dyDescent="0.2">
      <c r="A984" s="37"/>
      <c r="B984" s="37"/>
      <c r="C984" s="37"/>
      <c r="D984" s="37"/>
      <c r="E984" s="37"/>
      <c r="F984" s="37"/>
      <c r="G984" s="37"/>
      <c r="H984" s="37"/>
      <c r="I984" s="37"/>
      <c r="J984" s="37"/>
      <c r="K984" s="37"/>
      <c r="L984" s="37"/>
      <c r="M984" s="37"/>
      <c r="N984" s="37"/>
      <c r="O984" s="37"/>
      <c r="P984" s="37"/>
      <c r="Q984" s="27"/>
      <c r="R984" s="27"/>
      <c r="S984" s="27"/>
      <c r="T984" s="27"/>
      <c r="U984" s="27"/>
      <c r="V984" s="27"/>
      <c r="W984" s="27"/>
    </row>
    <row r="985" spans="1:23" ht="15" customHeight="1" x14ac:dyDescent="0.2">
      <c r="A985" s="37"/>
      <c r="B985" s="37"/>
      <c r="C985" s="37"/>
      <c r="D985" s="37"/>
      <c r="E985" s="37"/>
      <c r="F985" s="37"/>
      <c r="G985" s="37"/>
      <c r="H985" s="37"/>
      <c r="I985" s="37"/>
      <c r="J985" s="37"/>
      <c r="K985" s="37"/>
      <c r="L985" s="37"/>
      <c r="M985" s="37"/>
      <c r="N985" s="37"/>
      <c r="O985" s="37"/>
      <c r="P985" s="37"/>
      <c r="Q985" s="27"/>
      <c r="R985" s="27"/>
      <c r="S985" s="27"/>
      <c r="T985" s="27"/>
      <c r="U985" s="27"/>
      <c r="V985" s="27"/>
      <c r="W985" s="27"/>
    </row>
    <row r="986" spans="1:23" ht="15" customHeight="1" x14ac:dyDescent="0.2">
      <c r="A986" s="37"/>
      <c r="B986" s="37"/>
      <c r="C986" s="37"/>
      <c r="D986" s="37"/>
      <c r="E986" s="37"/>
      <c r="F986" s="37"/>
      <c r="G986" s="37"/>
      <c r="H986" s="37"/>
      <c r="I986" s="37"/>
      <c r="J986" s="37"/>
      <c r="K986" s="37"/>
      <c r="L986" s="37"/>
      <c r="M986" s="37"/>
      <c r="N986" s="37"/>
      <c r="O986" s="37"/>
      <c r="P986" s="37"/>
      <c r="Q986" s="27"/>
      <c r="R986" s="27"/>
      <c r="S986" s="27"/>
      <c r="T986" s="27"/>
      <c r="U986" s="27"/>
      <c r="V986" s="27"/>
      <c r="W986" s="27"/>
    </row>
    <row r="987" spans="1:23" ht="15" customHeight="1" x14ac:dyDescent="0.2">
      <c r="A987" s="37"/>
      <c r="B987" s="37"/>
      <c r="C987" s="37"/>
      <c r="D987" s="37"/>
      <c r="E987" s="37"/>
      <c r="F987" s="37"/>
      <c r="G987" s="37"/>
      <c r="H987" s="37"/>
      <c r="I987" s="37"/>
      <c r="J987" s="37"/>
      <c r="K987" s="37"/>
      <c r="L987" s="37"/>
      <c r="M987" s="37"/>
      <c r="N987" s="37"/>
      <c r="O987" s="37"/>
      <c r="P987" s="37"/>
      <c r="Q987" s="27"/>
      <c r="R987" s="27"/>
      <c r="S987" s="27"/>
      <c r="T987" s="27"/>
      <c r="U987" s="27"/>
      <c r="V987" s="27"/>
      <c r="W987" s="27"/>
    </row>
    <row r="988" spans="1:23" ht="15" customHeight="1" x14ac:dyDescent="0.2">
      <c r="A988" s="37"/>
      <c r="B988" s="37"/>
      <c r="C988" s="37"/>
      <c r="D988" s="37"/>
      <c r="E988" s="37"/>
      <c r="F988" s="37"/>
      <c r="G988" s="37"/>
      <c r="H988" s="37"/>
      <c r="I988" s="37"/>
      <c r="J988" s="37"/>
      <c r="K988" s="37"/>
      <c r="L988" s="37"/>
      <c r="M988" s="37"/>
      <c r="N988" s="37"/>
      <c r="O988" s="37"/>
      <c r="P988" s="37"/>
      <c r="Q988" s="27"/>
      <c r="R988" s="27"/>
      <c r="S988" s="27"/>
      <c r="T988" s="27"/>
      <c r="U988" s="27"/>
      <c r="V988" s="27"/>
      <c r="W988" s="27"/>
    </row>
    <row r="989" spans="1:23" ht="15" customHeight="1" x14ac:dyDescent="0.2">
      <c r="A989" s="37"/>
      <c r="B989" s="37"/>
      <c r="C989" s="37"/>
      <c r="D989" s="37"/>
      <c r="E989" s="37"/>
      <c r="F989" s="37"/>
      <c r="G989" s="37"/>
      <c r="H989" s="37"/>
      <c r="I989" s="37"/>
      <c r="J989" s="37"/>
      <c r="K989" s="37"/>
      <c r="L989" s="37"/>
      <c r="M989" s="37"/>
      <c r="N989" s="37"/>
      <c r="O989" s="37"/>
      <c r="P989" s="37"/>
      <c r="Q989" s="27"/>
      <c r="R989" s="27"/>
      <c r="S989" s="27"/>
      <c r="T989" s="27"/>
      <c r="U989" s="27"/>
      <c r="V989" s="27"/>
      <c r="W989" s="27"/>
    </row>
    <row r="990" spans="1:23" ht="15" customHeight="1" x14ac:dyDescent="0.2">
      <c r="A990" s="37"/>
      <c r="B990" s="37"/>
      <c r="C990" s="37"/>
      <c r="D990" s="37"/>
      <c r="E990" s="37"/>
      <c r="F990" s="37"/>
      <c r="G990" s="37"/>
      <c r="H990" s="37"/>
      <c r="I990" s="37"/>
      <c r="J990" s="37"/>
      <c r="K990" s="37"/>
      <c r="L990" s="37"/>
      <c r="M990" s="37"/>
      <c r="N990" s="37"/>
      <c r="O990" s="37"/>
      <c r="P990" s="37"/>
      <c r="Q990" s="27"/>
      <c r="R990" s="27"/>
      <c r="S990" s="27"/>
      <c r="T990" s="27"/>
      <c r="U990" s="27"/>
      <c r="V990" s="27"/>
      <c r="W990" s="27"/>
    </row>
    <row r="991" spans="1:23" ht="15" customHeight="1" x14ac:dyDescent="0.2">
      <c r="A991" s="37"/>
      <c r="B991" s="37"/>
      <c r="C991" s="37"/>
      <c r="D991" s="37"/>
      <c r="E991" s="37"/>
      <c r="F991" s="37"/>
      <c r="G991" s="37"/>
      <c r="H991" s="37"/>
      <c r="I991" s="37"/>
      <c r="J991" s="37"/>
      <c r="K991" s="37"/>
      <c r="L991" s="37"/>
      <c r="M991" s="37"/>
      <c r="N991" s="37"/>
      <c r="O991" s="37"/>
      <c r="P991" s="37"/>
      <c r="Q991" s="27"/>
      <c r="R991" s="27"/>
      <c r="S991" s="27"/>
      <c r="T991" s="27"/>
      <c r="U991" s="27"/>
      <c r="V991" s="27"/>
      <c r="W991" s="27"/>
    </row>
    <row r="992" spans="1:23" ht="15" customHeight="1" x14ac:dyDescent="0.2">
      <c r="A992" s="37"/>
      <c r="B992" s="37"/>
      <c r="C992" s="37"/>
      <c r="D992" s="37"/>
      <c r="E992" s="37"/>
      <c r="F992" s="37"/>
      <c r="G992" s="37"/>
      <c r="H992" s="37"/>
      <c r="I992" s="37"/>
      <c r="J992" s="37"/>
      <c r="K992" s="37"/>
      <c r="L992" s="37"/>
      <c r="M992" s="37"/>
      <c r="N992" s="37"/>
      <c r="O992" s="37"/>
      <c r="P992" s="37"/>
      <c r="Q992" s="27"/>
      <c r="R992" s="27"/>
      <c r="S992" s="27"/>
      <c r="T992" s="27"/>
      <c r="U992" s="27"/>
      <c r="V992" s="27"/>
      <c r="W992" s="27"/>
    </row>
    <row r="993" spans="1:23" ht="15" customHeight="1" x14ac:dyDescent="0.2">
      <c r="A993" s="37"/>
      <c r="B993" s="37"/>
      <c r="C993" s="37"/>
      <c r="D993" s="37"/>
      <c r="E993" s="37"/>
      <c r="F993" s="37"/>
      <c r="G993" s="37"/>
      <c r="H993" s="37"/>
      <c r="I993" s="37"/>
      <c r="J993" s="37"/>
      <c r="K993" s="37"/>
      <c r="L993" s="37"/>
      <c r="M993" s="37"/>
      <c r="N993" s="37"/>
      <c r="O993" s="37"/>
      <c r="P993" s="37"/>
      <c r="Q993" s="27"/>
      <c r="R993" s="27"/>
      <c r="S993" s="27"/>
      <c r="T993" s="27"/>
      <c r="U993" s="27"/>
      <c r="V993" s="27"/>
      <c r="W993" s="27"/>
    </row>
    <row r="994" spans="1:23" ht="15" customHeight="1" x14ac:dyDescent="0.2">
      <c r="A994" s="37"/>
      <c r="B994" s="37"/>
      <c r="C994" s="37"/>
      <c r="D994" s="37"/>
      <c r="E994" s="37"/>
      <c r="F994" s="37"/>
      <c r="G994" s="37"/>
      <c r="H994" s="37"/>
      <c r="I994" s="37"/>
      <c r="J994" s="37"/>
      <c r="K994" s="37"/>
      <c r="L994" s="37"/>
      <c r="M994" s="37"/>
      <c r="N994" s="37"/>
      <c r="O994" s="37"/>
      <c r="P994" s="37"/>
      <c r="Q994" s="27"/>
      <c r="R994" s="27"/>
      <c r="S994" s="27"/>
      <c r="T994" s="27"/>
      <c r="U994" s="27"/>
      <c r="V994" s="27"/>
      <c r="W994" s="27"/>
    </row>
    <row r="995" spans="1:23" ht="15" customHeight="1" x14ac:dyDescent="0.2">
      <c r="A995" s="37"/>
      <c r="B995" s="37"/>
      <c r="C995" s="37"/>
      <c r="D995" s="37"/>
      <c r="E995" s="37"/>
      <c r="F995" s="37"/>
      <c r="G995" s="37"/>
      <c r="H995" s="37"/>
      <c r="I995" s="37"/>
      <c r="J995" s="37"/>
      <c r="K995" s="37"/>
      <c r="L995" s="37"/>
      <c r="M995" s="37"/>
      <c r="N995" s="37"/>
      <c r="O995" s="37"/>
      <c r="P995" s="37"/>
      <c r="Q995" s="27"/>
      <c r="R995" s="27"/>
      <c r="S995" s="27"/>
      <c r="T995" s="27"/>
      <c r="U995" s="27"/>
      <c r="V995" s="27"/>
      <c r="W995" s="27"/>
    </row>
    <row r="996" spans="1:23" ht="15" customHeight="1" x14ac:dyDescent="0.2">
      <c r="A996" s="37"/>
      <c r="B996" s="37"/>
      <c r="C996" s="37"/>
      <c r="D996" s="37"/>
      <c r="E996" s="37"/>
      <c r="F996" s="37"/>
      <c r="G996" s="37"/>
      <c r="H996" s="37"/>
      <c r="I996" s="37"/>
      <c r="J996" s="37"/>
      <c r="K996" s="37"/>
      <c r="L996" s="37"/>
      <c r="M996" s="37"/>
      <c r="N996" s="37"/>
      <c r="O996" s="37"/>
      <c r="P996" s="37"/>
      <c r="Q996" s="27"/>
      <c r="R996" s="27"/>
      <c r="S996" s="27"/>
      <c r="T996" s="27"/>
      <c r="U996" s="27"/>
      <c r="V996" s="27"/>
      <c r="W996" s="27"/>
    </row>
    <row r="997" spans="1:23" ht="15" customHeight="1" x14ac:dyDescent="0.2">
      <c r="A997" s="37"/>
      <c r="B997" s="37"/>
      <c r="C997" s="37"/>
      <c r="D997" s="37"/>
      <c r="E997" s="37"/>
      <c r="F997" s="37"/>
      <c r="G997" s="37"/>
      <c r="H997" s="37"/>
      <c r="I997" s="37"/>
      <c r="J997" s="37"/>
      <c r="K997" s="37"/>
      <c r="L997" s="37"/>
      <c r="M997" s="37"/>
      <c r="N997" s="37"/>
      <c r="O997" s="37"/>
      <c r="P997" s="37"/>
      <c r="Q997" s="27"/>
      <c r="R997" s="27"/>
      <c r="S997" s="27"/>
      <c r="T997" s="27"/>
      <c r="U997" s="27"/>
      <c r="V997" s="27"/>
      <c r="W997" s="27"/>
    </row>
    <row r="998" spans="1:23" ht="15" customHeight="1" x14ac:dyDescent="0.2">
      <c r="A998" s="37"/>
      <c r="B998" s="37"/>
      <c r="C998" s="37"/>
      <c r="D998" s="37"/>
      <c r="E998" s="37"/>
      <c r="F998" s="37"/>
      <c r="G998" s="37"/>
      <c r="H998" s="37"/>
      <c r="I998" s="37"/>
      <c r="J998" s="37"/>
      <c r="K998" s="37"/>
      <c r="L998" s="37"/>
      <c r="M998" s="37"/>
      <c r="N998" s="37"/>
      <c r="O998" s="37"/>
      <c r="P998" s="37"/>
      <c r="Q998" s="27"/>
      <c r="R998" s="27"/>
      <c r="S998" s="27"/>
      <c r="T998" s="27"/>
      <c r="U998" s="27"/>
      <c r="V998" s="27"/>
      <c r="W998" s="27"/>
    </row>
    <row r="999" spans="1:23" ht="15" customHeight="1" x14ac:dyDescent="0.2">
      <c r="A999" s="37"/>
      <c r="B999" s="37"/>
      <c r="C999" s="37"/>
      <c r="D999" s="37"/>
      <c r="E999" s="37"/>
      <c r="F999" s="37"/>
      <c r="G999" s="37"/>
      <c r="H999" s="37"/>
      <c r="I999" s="37"/>
      <c r="J999" s="37"/>
      <c r="K999" s="37"/>
      <c r="L999" s="37"/>
      <c r="M999" s="37"/>
      <c r="N999" s="37"/>
      <c r="O999" s="37"/>
      <c r="P999" s="37"/>
      <c r="Q999" s="27"/>
      <c r="R999" s="27"/>
      <c r="S999" s="27"/>
      <c r="T999" s="27"/>
      <c r="U999" s="27"/>
      <c r="V999" s="27"/>
      <c r="W999" s="27"/>
    </row>
    <row r="1000" spans="1:23" ht="15" customHeight="1" x14ac:dyDescent="0.2">
      <c r="A1000" s="37"/>
      <c r="B1000" s="37"/>
      <c r="C1000" s="37"/>
      <c r="D1000" s="37"/>
      <c r="E1000" s="37"/>
      <c r="F1000" s="37"/>
      <c r="G1000" s="37"/>
      <c r="H1000" s="37"/>
      <c r="I1000" s="37"/>
      <c r="J1000" s="37"/>
      <c r="K1000" s="37"/>
      <c r="L1000" s="37"/>
      <c r="M1000" s="37"/>
      <c r="N1000" s="37"/>
      <c r="O1000" s="37"/>
      <c r="P1000" s="37"/>
      <c r="Q1000" s="27"/>
      <c r="R1000" s="27"/>
      <c r="S1000" s="27"/>
      <c r="T1000" s="27"/>
      <c r="U1000" s="27"/>
      <c r="V1000" s="27"/>
      <c r="W1000" s="27"/>
    </row>
    <row r="1001" spans="1:23" ht="15" customHeight="1" x14ac:dyDescent="0.2">
      <c r="A1001" s="37"/>
      <c r="B1001" s="37"/>
      <c r="C1001" s="37"/>
      <c r="D1001" s="37"/>
      <c r="E1001" s="37"/>
      <c r="F1001" s="37"/>
      <c r="G1001" s="37"/>
      <c r="H1001" s="37"/>
      <c r="I1001" s="37"/>
      <c r="J1001" s="37"/>
      <c r="K1001" s="37"/>
      <c r="L1001" s="37"/>
      <c r="M1001" s="37"/>
      <c r="N1001" s="37"/>
      <c r="O1001" s="37"/>
      <c r="P1001" s="37"/>
      <c r="Q1001" s="27"/>
      <c r="R1001" s="27"/>
      <c r="S1001" s="27"/>
      <c r="T1001" s="27"/>
      <c r="U1001" s="27"/>
      <c r="V1001" s="27"/>
      <c r="W1001" s="27"/>
    </row>
    <row r="1002" spans="1:23" ht="15" customHeight="1" x14ac:dyDescent="0.2">
      <c r="A1002" s="37"/>
      <c r="B1002" s="37"/>
      <c r="C1002" s="37"/>
      <c r="D1002" s="37"/>
      <c r="E1002" s="37"/>
      <c r="F1002" s="37"/>
      <c r="G1002" s="37"/>
      <c r="H1002" s="37"/>
      <c r="I1002" s="37"/>
      <c r="J1002" s="37"/>
      <c r="K1002" s="37"/>
      <c r="L1002" s="37"/>
      <c r="M1002" s="37"/>
      <c r="N1002" s="37"/>
      <c r="O1002" s="37"/>
      <c r="P1002" s="37"/>
      <c r="Q1002" s="27"/>
      <c r="R1002" s="27"/>
      <c r="S1002" s="27"/>
      <c r="T1002" s="27"/>
      <c r="U1002" s="27"/>
      <c r="V1002" s="27"/>
      <c r="W1002" s="27"/>
    </row>
    <row r="1003" spans="1:23" ht="15" customHeight="1" x14ac:dyDescent="0.2">
      <c r="A1003" s="37"/>
      <c r="B1003" s="37"/>
      <c r="C1003" s="37"/>
      <c r="D1003" s="37"/>
      <c r="E1003" s="37"/>
      <c r="F1003" s="37"/>
      <c r="G1003" s="37"/>
      <c r="H1003" s="37"/>
      <c r="I1003" s="37"/>
      <c r="J1003" s="37"/>
      <c r="K1003" s="37"/>
      <c r="L1003" s="37"/>
      <c r="M1003" s="37"/>
      <c r="N1003" s="37"/>
      <c r="O1003" s="37"/>
      <c r="P1003" s="37"/>
      <c r="Q1003" s="27"/>
      <c r="R1003" s="27"/>
      <c r="S1003" s="27"/>
      <c r="T1003" s="27"/>
      <c r="U1003" s="27"/>
      <c r="V1003" s="27"/>
      <c r="W1003" s="27"/>
    </row>
    <row r="1004" spans="1:23" ht="15" customHeight="1" x14ac:dyDescent="0.2">
      <c r="A1004" s="37"/>
      <c r="B1004" s="37"/>
      <c r="C1004" s="37"/>
      <c r="D1004" s="37"/>
      <c r="E1004" s="37"/>
      <c r="F1004" s="37"/>
      <c r="G1004" s="37"/>
      <c r="H1004" s="37"/>
      <c r="I1004" s="37"/>
      <c r="J1004" s="37"/>
      <c r="K1004" s="37"/>
      <c r="L1004" s="37"/>
      <c r="M1004" s="37"/>
      <c r="N1004" s="37"/>
      <c r="O1004" s="37"/>
      <c r="P1004" s="37"/>
      <c r="Q1004" s="27"/>
      <c r="R1004" s="27"/>
      <c r="S1004" s="27"/>
      <c r="T1004" s="27"/>
      <c r="U1004" s="27"/>
      <c r="V1004" s="27"/>
      <c r="W1004" s="27"/>
    </row>
    <row r="1005" spans="1:23" ht="15" customHeight="1" x14ac:dyDescent="0.2">
      <c r="A1005" s="37"/>
      <c r="B1005" s="37"/>
      <c r="C1005" s="37"/>
      <c r="D1005" s="37"/>
      <c r="E1005" s="37"/>
      <c r="F1005" s="37"/>
      <c r="G1005" s="37"/>
      <c r="H1005" s="37"/>
      <c r="I1005" s="37"/>
      <c r="J1005" s="37"/>
      <c r="K1005" s="37"/>
      <c r="L1005" s="37"/>
      <c r="M1005" s="37"/>
      <c r="N1005" s="37"/>
      <c r="O1005" s="37"/>
      <c r="P1005" s="37"/>
      <c r="Q1005" s="27"/>
      <c r="R1005" s="27"/>
      <c r="S1005" s="27"/>
      <c r="T1005" s="27"/>
      <c r="U1005" s="27"/>
      <c r="V1005" s="27"/>
      <c r="W1005" s="27"/>
    </row>
    <row r="1006" spans="1:23" ht="15" customHeight="1" x14ac:dyDescent="0.2">
      <c r="A1006" s="37"/>
      <c r="B1006" s="37"/>
      <c r="C1006" s="37"/>
      <c r="D1006" s="37"/>
      <c r="E1006" s="37"/>
      <c r="F1006" s="37"/>
      <c r="G1006" s="37"/>
      <c r="H1006" s="37"/>
      <c r="I1006" s="37"/>
      <c r="J1006" s="37"/>
      <c r="K1006" s="37"/>
      <c r="L1006" s="37"/>
      <c r="M1006" s="37"/>
      <c r="N1006" s="37"/>
      <c r="O1006" s="37"/>
      <c r="P1006" s="37"/>
      <c r="Q1006" s="27"/>
      <c r="R1006" s="27"/>
      <c r="S1006" s="27"/>
      <c r="T1006" s="27"/>
      <c r="U1006" s="27"/>
      <c r="V1006" s="27"/>
      <c r="W1006" s="27"/>
    </row>
    <row r="1007" spans="1:23" ht="15" customHeight="1" x14ac:dyDescent="0.2">
      <c r="A1007" s="37"/>
      <c r="B1007" s="37"/>
      <c r="C1007" s="37"/>
      <c r="D1007" s="37"/>
      <c r="E1007" s="37"/>
      <c r="F1007" s="37"/>
      <c r="G1007" s="37"/>
      <c r="H1007" s="37"/>
      <c r="I1007" s="37"/>
      <c r="J1007" s="37"/>
      <c r="K1007" s="37"/>
      <c r="L1007" s="37"/>
      <c r="M1007" s="37"/>
      <c r="N1007" s="37"/>
      <c r="O1007" s="37"/>
      <c r="P1007" s="37"/>
      <c r="Q1007" s="27"/>
      <c r="R1007" s="27"/>
      <c r="S1007" s="27"/>
      <c r="T1007" s="27"/>
      <c r="U1007" s="27"/>
      <c r="V1007" s="27"/>
      <c r="W1007" s="27"/>
    </row>
    <row r="1008" spans="1:23" ht="15" customHeight="1" x14ac:dyDescent="0.2">
      <c r="A1008" s="37"/>
      <c r="B1008" s="37"/>
      <c r="C1008" s="37"/>
      <c r="D1008" s="37"/>
      <c r="E1008" s="37"/>
      <c r="F1008" s="37"/>
      <c r="G1008" s="37"/>
      <c r="H1008" s="37"/>
      <c r="I1008" s="37"/>
      <c r="J1008" s="37"/>
      <c r="K1008" s="37"/>
      <c r="L1008" s="37"/>
      <c r="M1008" s="37"/>
      <c r="N1008" s="37"/>
      <c r="O1008" s="37"/>
      <c r="P1008" s="37"/>
      <c r="Q1008" s="27"/>
      <c r="R1008" s="27"/>
      <c r="S1008" s="27"/>
      <c r="T1008" s="27"/>
      <c r="U1008" s="27"/>
      <c r="V1008" s="27"/>
      <c r="W1008" s="27"/>
    </row>
    <row r="1009" spans="1:23" ht="15" customHeight="1" x14ac:dyDescent="0.2">
      <c r="A1009" s="37"/>
      <c r="B1009" s="37"/>
      <c r="C1009" s="37"/>
      <c r="D1009" s="37"/>
      <c r="E1009" s="37"/>
      <c r="F1009" s="37"/>
      <c r="G1009" s="37"/>
      <c r="H1009" s="37"/>
      <c r="I1009" s="37"/>
      <c r="J1009" s="37"/>
      <c r="K1009" s="37"/>
      <c r="L1009" s="37"/>
      <c r="M1009" s="37"/>
      <c r="N1009" s="37"/>
      <c r="O1009" s="37"/>
      <c r="P1009" s="37"/>
      <c r="Q1009" s="27"/>
      <c r="R1009" s="27"/>
      <c r="S1009" s="27"/>
      <c r="T1009" s="27"/>
      <c r="U1009" s="27"/>
      <c r="V1009" s="27"/>
      <c r="W1009" s="27"/>
    </row>
    <row r="1010" spans="1:23" ht="15" customHeight="1" x14ac:dyDescent="0.2">
      <c r="A1010" s="37"/>
      <c r="B1010" s="37"/>
      <c r="C1010" s="37"/>
      <c r="D1010" s="37"/>
      <c r="E1010" s="37"/>
      <c r="F1010" s="37"/>
      <c r="G1010" s="37"/>
      <c r="H1010" s="37"/>
      <c r="I1010" s="37"/>
      <c r="J1010" s="37"/>
      <c r="K1010" s="37"/>
      <c r="L1010" s="37"/>
      <c r="M1010" s="37"/>
      <c r="N1010" s="37"/>
      <c r="O1010" s="37"/>
      <c r="P1010" s="37"/>
      <c r="Q1010" s="27"/>
      <c r="R1010" s="27"/>
      <c r="S1010" s="27"/>
      <c r="T1010" s="27"/>
      <c r="U1010" s="27"/>
      <c r="V1010" s="27"/>
      <c r="W1010" s="27"/>
    </row>
    <row r="1011" spans="1:23" ht="15" customHeight="1" x14ac:dyDescent="0.2">
      <c r="A1011" s="37"/>
      <c r="B1011" s="37"/>
      <c r="C1011" s="37"/>
      <c r="D1011" s="37"/>
      <c r="E1011" s="37"/>
      <c r="F1011" s="37"/>
      <c r="G1011" s="37"/>
      <c r="H1011" s="37"/>
      <c r="I1011" s="37"/>
      <c r="J1011" s="37"/>
      <c r="K1011" s="37"/>
      <c r="L1011" s="37"/>
      <c r="M1011" s="37"/>
      <c r="N1011" s="37"/>
      <c r="O1011" s="37"/>
      <c r="P1011" s="37"/>
      <c r="Q1011" s="27"/>
      <c r="R1011" s="27"/>
      <c r="S1011" s="27"/>
      <c r="T1011" s="27"/>
      <c r="U1011" s="27"/>
      <c r="V1011" s="27"/>
      <c r="W1011" s="27"/>
    </row>
    <row r="1012" spans="1:23" ht="15" customHeight="1" x14ac:dyDescent="0.2">
      <c r="A1012" s="37"/>
      <c r="B1012" s="37"/>
      <c r="C1012" s="37"/>
      <c r="D1012" s="37"/>
      <c r="E1012" s="37"/>
      <c r="F1012" s="37"/>
      <c r="G1012" s="37"/>
      <c r="H1012" s="37"/>
      <c r="I1012" s="37"/>
      <c r="J1012" s="37"/>
      <c r="K1012" s="37"/>
      <c r="L1012" s="37"/>
      <c r="M1012" s="37"/>
      <c r="N1012" s="37"/>
      <c r="O1012" s="37"/>
      <c r="P1012" s="37"/>
      <c r="Q1012" s="27"/>
      <c r="R1012" s="27"/>
      <c r="S1012" s="27"/>
      <c r="T1012" s="27"/>
      <c r="U1012" s="27"/>
      <c r="V1012" s="27"/>
      <c r="W1012" s="27"/>
    </row>
    <row r="1013" spans="1:23" ht="15" customHeight="1" x14ac:dyDescent="0.2">
      <c r="A1013" s="37"/>
      <c r="B1013" s="37"/>
      <c r="C1013" s="37"/>
      <c r="D1013" s="37"/>
      <c r="E1013" s="37"/>
      <c r="F1013" s="37"/>
      <c r="G1013" s="37"/>
      <c r="H1013" s="37"/>
      <c r="I1013" s="37"/>
      <c r="J1013" s="37"/>
      <c r="K1013" s="37"/>
      <c r="L1013" s="37"/>
      <c r="M1013" s="37"/>
      <c r="N1013" s="37"/>
      <c r="O1013" s="37"/>
      <c r="P1013" s="37"/>
      <c r="Q1013" s="27"/>
      <c r="R1013" s="27"/>
      <c r="S1013" s="27"/>
      <c r="T1013" s="27"/>
      <c r="U1013" s="27"/>
      <c r="V1013" s="27"/>
      <c r="W1013" s="27"/>
    </row>
    <row r="1014" spans="1:23" ht="15" customHeight="1" x14ac:dyDescent="0.2">
      <c r="A1014" s="37"/>
      <c r="B1014" s="37"/>
      <c r="C1014" s="37"/>
      <c r="D1014" s="37"/>
      <c r="E1014" s="37"/>
      <c r="F1014" s="37"/>
      <c r="G1014" s="37"/>
      <c r="H1014" s="37"/>
      <c r="I1014" s="37"/>
      <c r="J1014" s="37"/>
      <c r="K1014" s="37"/>
      <c r="L1014" s="37"/>
      <c r="M1014" s="37"/>
      <c r="N1014" s="37"/>
      <c r="O1014" s="37"/>
      <c r="P1014" s="37"/>
      <c r="Q1014" s="27"/>
      <c r="R1014" s="27"/>
      <c r="S1014" s="27"/>
      <c r="T1014" s="27"/>
      <c r="U1014" s="27"/>
      <c r="V1014" s="27"/>
      <c r="W1014" s="27"/>
    </row>
  </sheetData>
  <mergeCells count="51">
    <mergeCell ref="A51:B52"/>
    <mergeCell ref="A29:A30"/>
    <mergeCell ref="A37:A38"/>
    <mergeCell ref="A31:A32"/>
    <mergeCell ref="A33:A34"/>
    <mergeCell ref="A35:A36"/>
    <mergeCell ref="B39:B40"/>
    <mergeCell ref="A39:A40"/>
    <mergeCell ref="B35:B36"/>
    <mergeCell ref="B37:B38"/>
    <mergeCell ref="B33:B34"/>
    <mergeCell ref="B31:B32"/>
    <mergeCell ref="A41:A42"/>
    <mergeCell ref="B41:B42"/>
    <mergeCell ref="A43:A44"/>
    <mergeCell ref="B43:B44"/>
    <mergeCell ref="A49:A50"/>
    <mergeCell ref="B49:B50"/>
    <mergeCell ref="B29:B30"/>
    <mergeCell ref="B11:B12"/>
    <mergeCell ref="B17:B18"/>
    <mergeCell ref="B21:B22"/>
    <mergeCell ref="B23:B24"/>
    <mergeCell ref="B25:B26"/>
    <mergeCell ref="B27:B28"/>
    <mergeCell ref="B13:B14"/>
    <mergeCell ref="A25:A26"/>
    <mergeCell ref="A11:A12"/>
    <mergeCell ref="A15:A16"/>
    <mergeCell ref="A13:A14"/>
    <mergeCell ref="A27:A28"/>
    <mergeCell ref="B19:B20"/>
    <mergeCell ref="A7:P7"/>
    <mergeCell ref="A4:P4"/>
    <mergeCell ref="A45:A46"/>
    <mergeCell ref="B45:B46"/>
    <mergeCell ref="A47:A48"/>
    <mergeCell ref="B47:B48"/>
    <mergeCell ref="A9:A10"/>
    <mergeCell ref="B9:B10"/>
    <mergeCell ref="B15:B16"/>
    <mergeCell ref="A17:A18"/>
    <mergeCell ref="A19:A20"/>
    <mergeCell ref="A21:A22"/>
    <mergeCell ref="A23:A24"/>
    <mergeCell ref="A1:P3"/>
    <mergeCell ref="A5:A6"/>
    <mergeCell ref="B5:L6"/>
    <mergeCell ref="O5:P6"/>
    <mergeCell ref="M5:M6"/>
    <mergeCell ref="N5:N6"/>
  </mergeCells>
  <phoneticPr fontId="11" type="noConversion"/>
  <pageMargins left="0.70866141732283472" right="0.70866141732283472" top="0.74803149606299213" bottom="0.74803149606299213" header="0" footer="0"/>
  <pageSetup paperSize="9" scale="58" fitToHeight="0" orientation="landscape" r:id="rId1"/>
  <rowBreaks count="1" manualBreakCount="1">
    <brk id="40" max="1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7</vt:i4>
      </vt:variant>
      <vt:variant>
        <vt:lpstr>Intervalos nomeados</vt:lpstr>
      </vt:variant>
      <vt:variant>
        <vt:i4>9</vt:i4>
      </vt:variant>
    </vt:vector>
  </HeadingPairs>
  <TitlesOfParts>
    <vt:vector size="16" baseType="lpstr">
      <vt:lpstr>Planilha orçamentária</vt:lpstr>
      <vt:lpstr>Memória de Cálculo</vt:lpstr>
      <vt:lpstr>Planilha1</vt:lpstr>
      <vt:lpstr>CPU</vt:lpstr>
      <vt:lpstr>COTAÇÃO</vt:lpstr>
      <vt:lpstr>BDI</vt:lpstr>
      <vt:lpstr>Cronograma</vt:lpstr>
      <vt:lpstr>BDI!Area_de_impressao</vt:lpstr>
      <vt:lpstr>COTAÇÃO!Area_de_impressao</vt:lpstr>
      <vt:lpstr>Cronograma!Area_de_impressao</vt:lpstr>
      <vt:lpstr>'Memória de Cálculo'!Area_de_impressao</vt:lpstr>
      <vt:lpstr>'Planilha orçamentária'!Area_de_impressao</vt:lpstr>
      <vt:lpstr>COTAÇÃO!Titulos_de_impressao</vt:lpstr>
      <vt:lpstr>CPU!Titulos_de_impressao</vt:lpstr>
      <vt:lpstr>Cronograma!Titulos_de_impressao</vt:lpstr>
      <vt:lpstr>'Planilha orçamentária'!Titulos_de_impressao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User</cp:lastModifiedBy>
  <cp:lastPrinted>2023-05-29T10:20:11Z</cp:lastPrinted>
  <dcterms:created xsi:type="dcterms:W3CDTF">2022-10-18T14:57:54Z</dcterms:created>
  <dcterms:modified xsi:type="dcterms:W3CDTF">2023-05-29T12:02:31Z</dcterms:modified>
</cp:coreProperties>
</file>