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646"/>
  </bookViews>
  <sheets>
    <sheet name="Plan. Orçamentária" sheetId="12" r:id="rId1"/>
    <sheet name="Mem. Cálc. - P.O" sheetId="13" r:id="rId2"/>
    <sheet name="C.P.U." sheetId="14" r:id="rId3"/>
    <sheet name="Memória de cálculo - Composição" sheetId="19" r:id="rId4"/>
    <sheet name="BDI" sheetId="18" r:id="rId5"/>
    <sheet name="Cronograma Fis-Fin" sheetId="17" r:id="rId6"/>
  </sheets>
  <externalReferences>
    <externalReference r:id="rId7"/>
    <externalReference r:id="rId8"/>
    <externalReference r:id="rId9"/>
  </externalReferences>
  <definedNames>
    <definedName name="_xlnm.Print_Area" localSheetId="4">BDI!$A$1:$J$52</definedName>
    <definedName name="_xlnm.Print_Area" localSheetId="2">'C.P.U.'!$A$1:$I$39</definedName>
    <definedName name="_xlnm.Print_Area" localSheetId="5">'Cronograma Fis-Fin'!$A$1:$P$24</definedName>
    <definedName name="_xlnm.Print_Area" localSheetId="1">'Mem. Cálc. - P.O'!$A$1:$J$189</definedName>
    <definedName name="_xlnm.Print_Area" localSheetId="3">'Memória de cálculo - Composição'!$A$1:$I$62</definedName>
    <definedName name="_xlnm.Print_Area" localSheetId="0">'Plan. Orçamentária'!$A$1:$I$58</definedName>
    <definedName name="_xlnm.Database">#REF!</definedName>
    <definedName name="DESONERACAO" hidden="1">IF(OR(Import.Desoneracao="DESONERADO",Import.Desoneracao="SIM"),"SIM","NÃO")</definedName>
    <definedName name="Import.Desoneracao" hidden="1">OFFSET([1]DADOS!$G$18,0,-1)</definedName>
    <definedName name="_xlnm.Print_Titles" localSheetId="2">'C.P.U.'!$1:$8</definedName>
    <definedName name="_xlnm.Print_Titles" localSheetId="5">'Cronograma Fis-Fin'!$1:$10</definedName>
    <definedName name="_xlnm.Print_Titles" localSheetId="1">'Mem. Cálc. - P.O'!$1:$8</definedName>
    <definedName name="_xlnm.Print_Titles" localSheetId="0">'Plan. Orçamentária'!$1:$9</definedName>
  </definedNames>
  <calcPr calcId="162913" fullPrecision="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21" i="17" l="1"/>
  <c r="F19" i="17"/>
  <c r="J185" i="13"/>
  <c r="J187" i="13"/>
  <c r="J180" i="13"/>
  <c r="J179" i="13"/>
  <c r="J168" i="13"/>
  <c r="J169" i="13"/>
  <c r="J170" i="13"/>
  <c r="J171" i="13"/>
  <c r="J172" i="13"/>
  <c r="D161" i="13"/>
  <c r="J161" i="13" s="1"/>
  <c r="J143" i="13"/>
  <c r="J142" i="13"/>
  <c r="J141" i="13"/>
  <c r="G155" i="13" s="1"/>
  <c r="J155" i="13" s="1"/>
  <c r="J133" i="13"/>
  <c r="H177" i="13" l="1"/>
  <c r="J177" i="13" s="1"/>
  <c r="J181" i="13" s="1"/>
  <c r="G156" i="13"/>
  <c r="J156" i="13" s="1"/>
  <c r="J157" i="13" s="1"/>
  <c r="J144" i="13"/>
  <c r="J136" i="13"/>
  <c r="J135" i="13"/>
  <c r="J137" i="13" s="1"/>
  <c r="E118" i="13"/>
  <c r="F118" i="13" s="1"/>
  <c r="E117" i="13"/>
  <c r="F117" i="13" s="1"/>
  <c r="F119" i="13" s="1"/>
  <c r="J104" i="13"/>
  <c r="J103" i="13"/>
  <c r="J92" i="13"/>
  <c r="J91" i="13"/>
  <c r="J80" i="13"/>
  <c r="J79" i="13"/>
  <c r="G117" i="13" s="1"/>
  <c r="J117" i="13" l="1"/>
  <c r="D160" i="13" l="1"/>
  <c r="J166" i="13" l="1"/>
  <c r="J167" i="13"/>
  <c r="H151" i="13" l="1"/>
  <c r="D114" i="13"/>
  <c r="D113" i="13"/>
  <c r="D112" i="13"/>
  <c r="D101" i="13"/>
  <c r="D100" i="13"/>
  <c r="D99" i="13"/>
  <c r="D89" i="13"/>
  <c r="D88" i="13"/>
  <c r="D87" i="13"/>
  <c r="D77" i="13"/>
  <c r="D76" i="13"/>
  <c r="D75" i="13"/>
  <c r="E111" i="13"/>
  <c r="F111" i="13" s="1"/>
  <c r="E112" i="13"/>
  <c r="E113" i="13"/>
  <c r="E114" i="13"/>
  <c r="E110" i="13"/>
  <c r="F110" i="13" s="1"/>
  <c r="F113" i="13" l="1"/>
  <c r="F112" i="13"/>
  <c r="F114" i="13"/>
  <c r="F115" i="13" l="1"/>
  <c r="J17" i="13" l="1"/>
  <c r="B6" i="18" l="1"/>
  <c r="J25" i="18"/>
  <c r="J27" i="18" s="1"/>
  <c r="A6" i="18"/>
  <c r="A5" i="18"/>
  <c r="A4" i="18"/>
  <c r="J28" i="18" l="1"/>
  <c r="H6" i="12" s="1"/>
  <c r="J124" i="13"/>
  <c r="J101" i="13"/>
  <c r="J100" i="13"/>
  <c r="J99" i="13"/>
  <c r="J98" i="13"/>
  <c r="J97" i="13"/>
  <c r="E89" i="13"/>
  <c r="E88" i="13"/>
  <c r="E87" i="13"/>
  <c r="E86" i="13"/>
  <c r="E85" i="13"/>
  <c r="A9" i="19"/>
  <c r="J105" i="13" l="1"/>
  <c r="E74" i="13"/>
  <c r="E73" i="13"/>
  <c r="E77" i="13"/>
  <c r="J77" i="13" s="1"/>
  <c r="E76" i="13"/>
  <c r="J76" i="13" s="1"/>
  <c r="E75" i="13"/>
  <c r="J75" i="13" s="1"/>
  <c r="J73" i="13" l="1"/>
  <c r="J74" i="13"/>
  <c r="G110" i="13" l="1"/>
  <c r="J81" i="13"/>
  <c r="J110" i="13"/>
  <c r="J120" i="13" s="1"/>
  <c r="B59" i="19"/>
  <c r="B55" i="19"/>
  <c r="B50" i="19"/>
  <c r="B46" i="19"/>
  <c r="B41" i="19"/>
  <c r="A36" i="19"/>
  <c r="A62" i="19"/>
  <c r="I61" i="19"/>
  <c r="I62" i="19" s="1"/>
  <c r="G38" i="14" s="1"/>
  <c r="I38" i="14" s="1"/>
  <c r="A58" i="19"/>
  <c r="I57" i="19"/>
  <c r="I58" i="19" s="1"/>
  <c r="G37" i="14" s="1"/>
  <c r="I37" i="14" s="1"/>
  <c r="A54" i="19"/>
  <c r="I53" i="19"/>
  <c r="I52" i="19"/>
  <c r="A49" i="19"/>
  <c r="I48" i="19"/>
  <c r="I49" i="19" s="1"/>
  <c r="G35" i="14" s="1"/>
  <c r="I35" i="14" s="1"/>
  <c r="A45" i="19"/>
  <c r="I44" i="19"/>
  <c r="I43" i="19"/>
  <c r="A40" i="19"/>
  <c r="I39" i="19"/>
  <c r="I40" i="19" s="1"/>
  <c r="G32" i="14" s="1"/>
  <c r="A33" i="14"/>
  <c r="A41" i="19" s="1"/>
  <c r="A34" i="14"/>
  <c r="A35" i="14"/>
  <c r="A46" i="19" s="1"/>
  <c r="A36" i="14"/>
  <c r="A50" i="19" s="1"/>
  <c r="A37" i="14"/>
  <c r="A55" i="19" s="1"/>
  <c r="A38" i="14"/>
  <c r="A59" i="19" s="1"/>
  <c r="A32" i="14"/>
  <c r="A37" i="19" s="1"/>
  <c r="B30" i="14"/>
  <c r="B36" i="19" s="1"/>
  <c r="A39" i="14"/>
  <c r="I34" i="14"/>
  <c r="F32" i="14"/>
  <c r="E32" i="14"/>
  <c r="B37" i="19" s="1"/>
  <c r="C32" i="14"/>
  <c r="B126" i="13"/>
  <c r="A126" i="13"/>
  <c r="A129" i="13"/>
  <c r="J128" i="13"/>
  <c r="J88" i="13"/>
  <c r="J87" i="13"/>
  <c r="J86" i="13"/>
  <c r="J89" i="13"/>
  <c r="J85" i="13"/>
  <c r="A18" i="13"/>
  <c r="B6" i="13"/>
  <c r="J93" i="13" l="1"/>
  <c r="J129" i="13"/>
  <c r="E36" i="12" s="1"/>
  <c r="I54" i="19"/>
  <c r="G36" i="14" s="1"/>
  <c r="I36" i="14" s="1"/>
  <c r="I45" i="19"/>
  <c r="G33" i="14" s="1"/>
  <c r="I33" i="14" s="1"/>
  <c r="I27" i="14" l="1"/>
  <c r="C11" i="14"/>
  <c r="A12" i="14"/>
  <c r="A13" i="14"/>
  <c r="A14" i="14"/>
  <c r="A15" i="14"/>
  <c r="A23" i="19" s="1"/>
  <c r="A16" i="14"/>
  <c r="A28" i="19" s="1"/>
  <c r="A17" i="14"/>
  <c r="A32" i="19" s="1"/>
  <c r="A11" i="14"/>
  <c r="A10" i="19" s="1"/>
  <c r="A23" i="14"/>
  <c r="A24" i="14"/>
  <c r="A25" i="14"/>
  <c r="A26" i="14"/>
  <c r="A27" i="14"/>
  <c r="A28" i="14"/>
  <c r="A22" i="14"/>
  <c r="A29" i="14"/>
  <c r="I28" i="14"/>
  <c r="I26" i="14"/>
  <c r="I25" i="14"/>
  <c r="I24" i="14"/>
  <c r="I23" i="14"/>
  <c r="I22" i="14"/>
  <c r="B32" i="19"/>
  <c r="B28" i="19"/>
  <c r="B23" i="19"/>
  <c r="A19" i="19"/>
  <c r="B19" i="19"/>
  <c r="B14" i="19"/>
  <c r="A14" i="19"/>
  <c r="B10" i="19"/>
  <c r="B9" i="19"/>
  <c r="G6" i="19"/>
  <c r="B6" i="19"/>
  <c r="A6" i="19"/>
  <c r="A5" i="19"/>
  <c r="A4" i="19"/>
  <c r="A35" i="19"/>
  <c r="I34" i="19"/>
  <c r="I35" i="19" s="1"/>
  <c r="G17" i="14" s="1"/>
  <c r="I17" i="14" s="1"/>
  <c r="A31" i="19"/>
  <c r="I30" i="19"/>
  <c r="I31" i="19" s="1"/>
  <c r="G16" i="14" s="1"/>
  <c r="A27" i="19"/>
  <c r="I26" i="19"/>
  <c r="I25" i="19"/>
  <c r="A22" i="19"/>
  <c r="I21" i="19"/>
  <c r="I22" i="19" s="1"/>
  <c r="G14" i="14" s="1"/>
  <c r="I14" i="14" s="1"/>
  <c r="A18" i="19"/>
  <c r="I17" i="19"/>
  <c r="I16" i="19"/>
  <c r="A13" i="19"/>
  <c r="I12" i="19"/>
  <c r="I13" i="19" s="1"/>
  <c r="G11" i="14" s="1"/>
  <c r="G6" i="14"/>
  <c r="I13" i="14"/>
  <c r="A18" i="14"/>
  <c r="I27" i="19" l="1"/>
  <c r="G15" i="14" s="1"/>
  <c r="I15" i="14" s="1"/>
  <c r="I18" i="19"/>
  <c r="G12" i="14" s="1"/>
  <c r="I12" i="14" s="1"/>
  <c r="I29" i="14"/>
  <c r="I16" i="14"/>
  <c r="J123" i="13"/>
  <c r="J125" i="13" s="1"/>
  <c r="B121" i="13"/>
  <c r="A121" i="13"/>
  <c r="A125" i="13"/>
  <c r="I19" i="14" l="1"/>
  <c r="H32" i="14"/>
  <c r="I32" i="14" s="1"/>
  <c r="I39" i="14" s="1"/>
  <c r="E35" i="12"/>
  <c r="H11" i="14"/>
  <c r="I11" i="14" s="1"/>
  <c r="I18" i="14" s="1"/>
  <c r="I9" i="14" s="1"/>
  <c r="G35" i="12" s="1"/>
  <c r="I30" i="14" l="1"/>
  <c r="G36" i="12"/>
  <c r="A48" i="12"/>
  <c r="H36" i="12" l="1"/>
  <c r="I36" i="12" s="1"/>
  <c r="H6" i="19" l="1"/>
  <c r="H6" i="14"/>
  <c r="H35" i="12"/>
  <c r="I35" i="12" s="1"/>
  <c r="H43" i="12"/>
  <c r="H34" i="12"/>
  <c r="H47" i="12"/>
  <c r="H41" i="12"/>
  <c r="H33" i="12"/>
  <c r="H46" i="12"/>
  <c r="H32" i="12"/>
  <c r="H45" i="12"/>
  <c r="H31" i="12"/>
  <c r="H44" i="12"/>
  <c r="H37" i="12"/>
  <c r="H42" i="12"/>
  <c r="H40" i="12"/>
  <c r="B19" i="17"/>
  <c r="A21" i="17"/>
  <c r="A19" i="17"/>
  <c r="A17" i="17"/>
  <c r="B17" i="17"/>
  <c r="B15" i="17"/>
  <c r="B13" i="17"/>
  <c r="B11" i="17"/>
  <c r="A15" i="17"/>
  <c r="A13" i="17"/>
  <c r="A11" i="17"/>
  <c r="B21" i="17"/>
  <c r="A49" i="13"/>
  <c r="B54" i="13"/>
  <c r="A54" i="13"/>
  <c r="B50" i="13"/>
  <c r="A50" i="13"/>
  <c r="B46" i="13"/>
  <c r="A46" i="13"/>
  <c r="B42" i="13"/>
  <c r="A42" i="13"/>
  <c r="B36" i="13"/>
  <c r="B32" i="13"/>
  <c r="B28" i="13"/>
  <c r="B24" i="13"/>
  <c r="B20" i="13"/>
  <c r="B14" i="13"/>
  <c r="H10" i="13"/>
  <c r="B138" i="13"/>
  <c r="A138" i="13"/>
  <c r="B69" i="13"/>
  <c r="A69" i="13"/>
  <c r="B58" i="13"/>
  <c r="A58" i="13"/>
  <c r="B41" i="13"/>
  <c r="A41" i="13"/>
  <c r="I6" i="12"/>
  <c r="J6" i="18" s="1"/>
  <c r="I6" i="14" l="1"/>
  <c r="I6" i="19"/>
  <c r="K16" i="12"/>
  <c r="L16" i="12" s="1"/>
  <c r="A19" i="12" l="1"/>
  <c r="A12" i="12"/>
  <c r="B6" i="14"/>
  <c r="A59" i="13"/>
  <c r="B59" i="13"/>
  <c r="J61" i="13"/>
  <c r="J62" i="13" s="1"/>
  <c r="A62" i="13"/>
  <c r="A63" i="13"/>
  <c r="B63" i="13"/>
  <c r="J65" i="13"/>
  <c r="J66" i="13"/>
  <c r="J67" i="13"/>
  <c r="A68" i="13"/>
  <c r="J68" i="13" l="1"/>
  <c r="A57" i="13"/>
  <c r="A53" i="13"/>
  <c r="A45" i="13"/>
  <c r="A38" i="12" l="1"/>
  <c r="A15" i="12" l="1"/>
  <c r="A16" i="12"/>
  <c r="A17" i="12"/>
  <c r="A18" i="12"/>
  <c r="J16" i="13" l="1"/>
  <c r="J18" i="13" s="1"/>
  <c r="E11" i="12" l="1"/>
  <c r="N16" i="12"/>
  <c r="N15" i="12"/>
  <c r="N17" i="12" l="1"/>
  <c r="A189" i="13" l="1"/>
  <c r="B182" i="13"/>
  <c r="A182" i="13"/>
  <c r="A181" i="13"/>
  <c r="B174" i="13"/>
  <c r="A174" i="13"/>
  <c r="A173" i="13"/>
  <c r="B163" i="13"/>
  <c r="A163" i="13"/>
  <c r="A162" i="13"/>
  <c r="B158" i="13"/>
  <c r="A158" i="13"/>
  <c r="A157" i="13"/>
  <c r="J160" i="13"/>
  <c r="J162" i="13" s="1"/>
  <c r="B153" i="13"/>
  <c r="A153" i="13"/>
  <c r="A152" i="13"/>
  <c r="B149" i="13"/>
  <c r="A149" i="13"/>
  <c r="A148" i="13"/>
  <c r="B145" i="13"/>
  <c r="A145" i="13"/>
  <c r="E44" i="12" l="1"/>
  <c r="I44" i="12" s="1"/>
  <c r="D165" i="13"/>
  <c r="J165" i="13" s="1"/>
  <c r="J173" i="13" s="1"/>
  <c r="J56" i="13"/>
  <c r="J57" i="13" s="1"/>
  <c r="E24" i="12" s="1"/>
  <c r="J52" i="13"/>
  <c r="J53" i="13" s="1"/>
  <c r="E23" i="12" s="1"/>
  <c r="E28" i="12"/>
  <c r="H21" i="12" l="1"/>
  <c r="H24" i="12"/>
  <c r="I24" i="12" s="1"/>
  <c r="H23" i="12"/>
  <c r="I23" i="12" s="1"/>
  <c r="H22" i="12"/>
  <c r="E45" i="12"/>
  <c r="I45" i="12" s="1"/>
  <c r="E27" i="12"/>
  <c r="J48" i="13"/>
  <c r="J49" i="13" s="1"/>
  <c r="E22" i="12" s="1"/>
  <c r="J39" i="13"/>
  <c r="J38" i="13"/>
  <c r="J44" i="13"/>
  <c r="J45" i="13" s="1"/>
  <c r="E21" i="12" s="1"/>
  <c r="H15" i="12"/>
  <c r="H16" i="12"/>
  <c r="H17" i="12"/>
  <c r="H18" i="12"/>
  <c r="A40" i="13"/>
  <c r="A35" i="13"/>
  <c r="J34" i="13"/>
  <c r="J35" i="13" s="1"/>
  <c r="E17" i="12" s="1"/>
  <c r="A29" i="12"/>
  <c r="A25" i="12"/>
  <c r="H28" i="12"/>
  <c r="I28" i="12" s="1"/>
  <c r="H27" i="12"/>
  <c r="A32" i="13"/>
  <c r="A36" i="13"/>
  <c r="I22" i="12" l="1"/>
  <c r="I21" i="12"/>
  <c r="I17" i="12"/>
  <c r="I27" i="12"/>
  <c r="J40" i="13"/>
  <c r="E18" i="12" s="1"/>
  <c r="I18" i="12" s="1"/>
  <c r="A144" i="13"/>
  <c r="B139" i="13"/>
  <c r="J30" i="13"/>
  <c r="J31" i="13" s="1"/>
  <c r="E16" i="12" s="1"/>
  <c r="I16" i="12" s="1"/>
  <c r="J26" i="13"/>
  <c r="J27" i="13" s="1"/>
  <c r="E15" i="12" s="1"/>
  <c r="I15" i="12" s="1"/>
  <c r="J22" i="13"/>
  <c r="A139" i="13"/>
  <c r="I25" i="12" l="1"/>
  <c r="E43" i="12"/>
  <c r="I43" i="12" s="1"/>
  <c r="I29" i="12"/>
  <c r="J23" i="13"/>
  <c r="E14" i="12" s="1"/>
  <c r="E31" i="12"/>
  <c r="E32" i="12"/>
  <c r="E33" i="12"/>
  <c r="A137" i="13"/>
  <c r="A120" i="13"/>
  <c r="F18" i="17" l="1"/>
  <c r="G18" i="17"/>
  <c r="G17" i="17" s="1"/>
  <c r="H18" i="17"/>
  <c r="H17" i="17" s="1"/>
  <c r="I18" i="17"/>
  <c r="I17" i="17" s="1"/>
  <c r="F16" i="17"/>
  <c r="R16" i="17" s="1"/>
  <c r="I16" i="17"/>
  <c r="I15" i="17" s="1"/>
  <c r="H16" i="17"/>
  <c r="G16" i="17"/>
  <c r="G147" i="13"/>
  <c r="J147" i="13" s="1"/>
  <c r="E40" i="12"/>
  <c r="I40" i="12" s="1"/>
  <c r="E46" i="12"/>
  <c r="I46" i="12" s="1"/>
  <c r="R18" i="17"/>
  <c r="B130" i="13"/>
  <c r="A130" i="13"/>
  <c r="B106" i="13"/>
  <c r="A106" i="13"/>
  <c r="A105" i="13"/>
  <c r="A93" i="13"/>
  <c r="B94" i="13"/>
  <c r="A94" i="13"/>
  <c r="I33" i="12"/>
  <c r="B82" i="13"/>
  <c r="A82" i="13"/>
  <c r="I32" i="12"/>
  <c r="A81" i="13"/>
  <c r="B70" i="13"/>
  <c r="A70" i="13"/>
  <c r="A31" i="13"/>
  <c r="A27" i="13"/>
  <c r="A24" i="13"/>
  <c r="A28" i="13"/>
  <c r="G15" i="17" l="1"/>
  <c r="S16" i="17"/>
  <c r="T16" i="17" s="1"/>
  <c r="H15" i="17"/>
  <c r="J148" i="13"/>
  <c r="I31" i="12"/>
  <c r="E37" i="12"/>
  <c r="F15" i="17" l="1"/>
  <c r="J188" i="13"/>
  <c r="G151" i="13"/>
  <c r="J151" i="13" s="1"/>
  <c r="J152" i="13" s="1"/>
  <c r="E42" i="12" s="1"/>
  <c r="I42" i="12" s="1"/>
  <c r="E41" i="12"/>
  <c r="I41" i="12" s="1"/>
  <c r="B6" i="17"/>
  <c r="P6" i="17"/>
  <c r="O6" i="17"/>
  <c r="N6" i="17"/>
  <c r="A6" i="17"/>
  <c r="A5" i="17"/>
  <c r="A4" i="17"/>
  <c r="J189" i="13" l="1"/>
  <c r="E47" i="12" s="1"/>
  <c r="I47" i="12" s="1"/>
  <c r="I48" i="12" s="1"/>
  <c r="F22" i="17" s="1"/>
  <c r="A14" i="12"/>
  <c r="A11" i="12"/>
  <c r="A14" i="13" s="1"/>
  <c r="I22" i="17" l="1"/>
  <c r="G22" i="17"/>
  <c r="H22" i="17"/>
  <c r="A23" i="13"/>
  <c r="A5" i="13" l="1"/>
  <c r="A6" i="14"/>
  <c r="A5" i="14"/>
  <c r="A4" i="14"/>
  <c r="A20" i="13"/>
  <c r="B19" i="13"/>
  <c r="A19" i="13"/>
  <c r="H14" i="12"/>
  <c r="I14" i="12" s="1"/>
  <c r="B9" i="13"/>
  <c r="A9" i="13"/>
  <c r="J6" i="13"/>
  <c r="I6" i="13"/>
  <c r="H6" i="13"/>
  <c r="A6" i="13"/>
  <c r="A4" i="13"/>
  <c r="I37" i="12" l="1"/>
  <c r="R22" i="17" l="1"/>
  <c r="I19" i="12" l="1"/>
  <c r="H14" i="17" l="1"/>
  <c r="I14" i="17"/>
  <c r="G14" i="17"/>
  <c r="F14" i="17"/>
  <c r="G13" i="17" l="1"/>
  <c r="I13" i="17"/>
  <c r="H13" i="17"/>
  <c r="S14" i="17"/>
  <c r="R14" i="17"/>
  <c r="F13" i="17" l="1"/>
  <c r="T14" i="17"/>
  <c r="S22" i="17"/>
  <c r="T22" i="17" s="1"/>
  <c r="E34" i="12" l="1"/>
  <c r="I34" i="12" s="1"/>
  <c r="I38" i="12" s="1"/>
  <c r="D13" i="13" l="1"/>
  <c r="F13" i="13" s="1"/>
  <c r="H13" i="13" s="1"/>
  <c r="G11" i="12" s="1"/>
  <c r="F20" i="17"/>
  <c r="I20" i="17" l="1"/>
  <c r="G20" i="17"/>
  <c r="R20" i="17"/>
  <c r="H20" i="17"/>
  <c r="K11" i="12"/>
  <c r="H11" i="12"/>
  <c r="I11" i="12" s="1"/>
  <c r="I12" i="12" s="1"/>
  <c r="I49" i="12" l="1"/>
  <c r="I12" i="17"/>
  <c r="F12" i="17"/>
  <c r="G12" i="17"/>
  <c r="G11" i="17" s="1"/>
  <c r="S24" i="17"/>
  <c r="K17" i="12"/>
  <c r="L17" i="12" s="1"/>
  <c r="S20" i="17"/>
  <c r="T20" i="17" s="1"/>
  <c r="I11" i="17" l="1"/>
  <c r="F24" i="17"/>
  <c r="H11" i="17"/>
  <c r="F11" i="17" s="1"/>
  <c r="R12" i="17"/>
  <c r="R24" i="17"/>
  <c r="T24" i="17" s="1"/>
  <c r="S12" i="17"/>
  <c r="S18" i="17"/>
  <c r="T18" i="17" s="1"/>
  <c r="I24" i="17"/>
  <c r="H24" i="17"/>
  <c r="H23" i="17" s="1"/>
  <c r="G24" i="17"/>
  <c r="G23" i="17" s="1"/>
  <c r="I23" i="17" l="1"/>
  <c r="F23" i="17" s="1"/>
  <c r="T12" i="17"/>
  <c r="R23" i="17"/>
  <c r="F17" i="17"/>
  <c r="S23" i="17"/>
  <c r="T23" i="17" l="1"/>
</calcChain>
</file>

<file path=xl/comments1.xml><?xml version="1.0" encoding="utf-8"?>
<comments xmlns="http://schemas.openxmlformats.org/spreadsheetml/2006/main">
  <authors>
    <author>Autor</author>
  </authors>
  <commentList>
    <comment ref="I14" authorId="0" shapeId="0">
      <text>
        <r>
          <rPr>
            <b/>
            <sz val="9"/>
            <color indexed="81"/>
            <rFont val="Segoe UI"/>
            <family val="2"/>
          </rPr>
          <t>Autor:</t>
        </r>
        <r>
          <rPr>
            <sz val="9"/>
            <color indexed="81"/>
            <rFont val="Segoe UI"/>
            <family val="2"/>
          </rPr>
          <t xml:space="preserve">
Arredondamento manual</t>
        </r>
      </text>
    </comment>
    <comment ref="I22" authorId="0" shapeId="0">
      <text>
        <r>
          <rPr>
            <b/>
            <sz val="9"/>
            <color indexed="81"/>
            <rFont val="Segoe UI"/>
            <family val="2"/>
          </rPr>
          <t>Autor:</t>
        </r>
        <r>
          <rPr>
            <sz val="9"/>
            <color indexed="81"/>
            <rFont val="Segoe UI"/>
            <family val="2"/>
          </rPr>
          <t xml:space="preserve">
Arredondado manualmente</t>
        </r>
      </text>
    </comment>
  </commentList>
</comments>
</file>

<file path=xl/sharedStrings.xml><?xml version="1.0" encoding="utf-8"?>
<sst xmlns="http://schemas.openxmlformats.org/spreadsheetml/2006/main" count="760" uniqueCount="273">
  <si>
    <t>OBRA POR EXECUÇÃO INDIRETA</t>
  </si>
  <si>
    <t>Objeto:</t>
  </si>
  <si>
    <t>BDI:</t>
  </si>
  <si>
    <t>PLANILHA ORÇAMENTÁRIA</t>
  </si>
  <si>
    <t>Item</t>
  </si>
  <si>
    <t>Preço Referência</t>
  </si>
  <si>
    <t>Descrição</t>
  </si>
  <si>
    <t>Qtde.</t>
  </si>
  <si>
    <t>Preço unitário sem BDI</t>
  </si>
  <si>
    <t>Preço unitário com BDI</t>
  </si>
  <si>
    <t>P. Total</t>
  </si>
  <si>
    <t>MEMÓRIA DE CÁLCULO</t>
  </si>
  <si>
    <t>Detalhe</t>
  </si>
  <si>
    <t>Extensão</t>
  </si>
  <si>
    <t>Largura</t>
  </si>
  <si>
    <t>Altura</t>
  </si>
  <si>
    <t>Quantidade</t>
  </si>
  <si>
    <t>Lados</t>
  </si>
  <si>
    <t>Área</t>
  </si>
  <si>
    <t>Total</t>
  </si>
  <si>
    <t>Unidade</t>
  </si>
  <si>
    <t>Coeficiente</t>
  </si>
  <si>
    <t>Custo direto da obra
(com BDI)</t>
  </si>
  <si>
    <t>Custo direto da obra
(sem BDI)</t>
  </si>
  <si>
    <t>Observações:</t>
  </si>
  <si>
    <r>
      <t xml:space="preserve">PREFEITURA MUNICIPAL
</t>
    </r>
    <r>
      <rPr>
        <b/>
        <sz val="11"/>
        <rFont val="Arial"/>
        <family val="2"/>
      </rPr>
      <t>Secretaria de Obras e Serviços Urbanos</t>
    </r>
  </si>
  <si>
    <t>Dedução</t>
  </si>
  <si>
    <t>M2</t>
  </si>
  <si>
    <t>M3</t>
  </si>
  <si>
    <t>UN</t>
  </si>
  <si>
    <t>M</t>
  </si>
  <si>
    <t>KG</t>
  </si>
  <si>
    <t>H</t>
  </si>
  <si>
    <t>MOBILIZAÇÃO E DESMOBILIZAÇÃO</t>
  </si>
  <si>
    <t>VB</t>
  </si>
  <si>
    <t>CANTEIRO DE OBRAS</t>
  </si>
  <si>
    <t>COMPOSIÇÃO DE CUSTOS UNITÁRIOS</t>
  </si>
  <si>
    <t>8) Os LICITANTES deverão apresentar composição do BDI utilizado em sua proposta comercial, detalhando cada percentual separadamente (Administração central, seguros, riscos, garantias, despesas financeiras, lucro/remuneração, impostos).  O percentual de ISS deverá seguir a legislação Municipal. A CONTRATANTE realizará retenção do ISS conforme alíquota adotada na composição da empresa vencedora do processo licitatório.</t>
  </si>
  <si>
    <t>7) Caso a Fiscalização Municipal entenda como inviável a execução de algum item previsto nesta planilha, a Prefeitura Municipal reserva-se o direito de realizar supressão total ou parcial do(s) mesmo(s), de acordo com os limites estabelecidos pela Lei nº 8.666/93.</t>
  </si>
  <si>
    <t>6) Os serviços deverão ser executados rigorosamente conforme Planilha Orçamentária, Especificação Técnica e Projetos.</t>
  </si>
  <si>
    <t xml:space="preserve">5) A Contribuição Previdenciária sobre a Receita Bruta (CPRB) - Lei 13.161/2015, desonera a folha de salários de diversas atividades econômicas da construção civil e impacta no cálculo do BDI mediante a majoração do percentual correspondente à 4,5% sobre o preço total da obra, em substituição à contribuição previdenciária patronal de 20% prevista nos encargos sociais. </t>
  </si>
  <si>
    <r>
      <t xml:space="preserve">4) O BDI adotado foi de </t>
    </r>
    <r>
      <rPr>
        <b/>
        <sz val="10.5"/>
        <rFont val="Arial"/>
        <family val="2"/>
      </rPr>
      <t>30,38%,</t>
    </r>
    <r>
      <rPr>
        <sz val="10.5"/>
        <rFont val="Arial"/>
        <family val="2"/>
      </rPr>
      <t xml:space="preserve"> </t>
    </r>
    <r>
      <rPr>
        <b/>
        <sz val="10.5"/>
        <rFont val="Arial"/>
        <family val="2"/>
      </rPr>
      <t>com desoneração</t>
    </r>
    <r>
      <rPr>
        <sz val="10.5"/>
        <rFont val="Arial"/>
        <family val="2"/>
      </rPr>
      <t xml:space="preserve">, conforme Acórdão nº 2622/2013 e Lei 13.161 de 31/08/15. Os percentuais adotados para o cálculo do BDI estão detalhados em planilha anexa.  Conforme legislação tributária Municipal, </t>
    </r>
    <r>
      <rPr>
        <b/>
        <sz val="10.5"/>
        <rFont val="Arial"/>
        <family val="2"/>
      </rPr>
      <t>a base de cálculo do ISS corresponde a 90,00%</t>
    </r>
    <r>
      <rPr>
        <sz val="10.5"/>
        <rFont val="Arial"/>
        <family val="2"/>
      </rPr>
      <t xml:space="preserve"> do valor deste tipo de obra e, sobre esta base, </t>
    </r>
    <r>
      <rPr>
        <b/>
        <sz val="10.5"/>
        <rFont val="Arial"/>
        <family val="2"/>
      </rPr>
      <t>incide ISS com alíquota de 5,00%</t>
    </r>
    <r>
      <rPr>
        <sz val="10.5"/>
        <rFont val="Arial"/>
        <family val="2"/>
      </rPr>
      <t>.</t>
    </r>
  </si>
  <si>
    <r>
      <t xml:space="preserve">3) Os </t>
    </r>
    <r>
      <rPr>
        <b/>
        <sz val="10.5"/>
        <rFont val="Arial"/>
        <family val="2"/>
      </rPr>
      <t>Encargos complementares</t>
    </r>
    <r>
      <rPr>
        <sz val="10.5"/>
        <rFont val="Arial"/>
        <family val="2"/>
      </rPr>
      <t xml:space="preserve"> são custos associados à mão de obra - alimentação, transporte, equipamentos de proteção individual, ferramentas e outros.</t>
    </r>
  </si>
  <si>
    <r>
      <t xml:space="preserve">2) Estão incluídos nos custos de cada item: </t>
    </r>
    <r>
      <rPr>
        <b/>
        <sz val="10.5"/>
        <rFont val="Arial"/>
        <family val="2"/>
      </rPr>
      <t xml:space="preserve">Fornecimento e transporte de todos os materiais e equipamentos + mão de obra + encargos sociais + encargos complementares. </t>
    </r>
    <r>
      <rPr>
        <sz val="10.5"/>
        <rFont val="Arial"/>
        <family val="2"/>
      </rPr>
      <t xml:space="preserve">No preço unitário estão incluidos todos os componentes necessários para execução de cada serviço, mesmo aqueles que embora não citados sejam indispensáveis para o seu desenvolvimento. </t>
    </r>
  </si>
  <si>
    <t>1) Os preços unitários da planilha são referenciais, limites máximos permitidos e correspondem ao custo total de cada serviço. Foram utilizados preços de referência com desoneração, conforme Lei 13.161/2015.</t>
  </si>
  <si>
    <t>Instruções:</t>
  </si>
  <si>
    <t>TOTAL</t>
  </si>
  <si>
    <t>PAVIMENTAÇÃO</t>
  </si>
  <si>
    <t>Área conforme levantamento topográfico</t>
  </si>
  <si>
    <t>CRONOGRAMA FÍSICO / FINANCEIRO</t>
  </si>
  <si>
    <t>ITEM</t>
  </si>
  <si>
    <t>FÍSICO/ FINANCEIRO</t>
  </si>
  <si>
    <t>TOTAL  ETAPAS</t>
  </si>
  <si>
    <t>MÊS 1</t>
  </si>
  <si>
    <t>MÊS 2</t>
  </si>
  <si>
    <t>MÊS 3</t>
  </si>
  <si>
    <t>MÊS 4</t>
  </si>
  <si>
    <t>MÊS 5</t>
  </si>
  <si>
    <t>MÊS 6</t>
  </si>
  <si>
    <t>MÊS 7</t>
  </si>
  <si>
    <t>MÊS 8</t>
  </si>
  <si>
    <t>MÊS 9</t>
  </si>
  <si>
    <t>MÊS 10</t>
  </si>
  <si>
    <t>Físico %</t>
  </si>
  <si>
    <t>Financeiro</t>
  </si>
  <si>
    <t>ED-16348</t>
  </si>
  <si>
    <t>MÊS</t>
  </si>
  <si>
    <t>DRENAGEM PLUVIAL</t>
  </si>
  <si>
    <t>Escavação mecanizada de vala, com profundidade até 3,00m, largura menor 0,8m em solos de 1ª categoria</t>
  </si>
  <si>
    <t>Tubo de concreto armado PA1, DN 400mm, junta rígida tipo ponta e bolsa, incluindo fornecimento, assentamento e rejuntamento</t>
  </si>
  <si>
    <t>Reaterro de vala com compactação mecânica através de placa vibratória</t>
  </si>
  <si>
    <t>Fonte</t>
  </si>
  <si>
    <t>-</t>
  </si>
  <si>
    <t>ED-16356</t>
  </si>
  <si>
    <t>Ligações provisórias para container tipo 1 (correspondente ao código ED-16348)</t>
  </si>
  <si>
    <t>Mobilização e desmobilização de container, inclusive instalação e transporte com caminhão guindauto (munck)</t>
  </si>
  <si>
    <t>ADMINISTRAÇAO LOCAL</t>
  </si>
  <si>
    <t>Encarregado geral com encargos complementares</t>
  </si>
  <si>
    <t>3.1</t>
  </si>
  <si>
    <t>SINALIZAÇÃO</t>
  </si>
  <si>
    <t>01 (um) banheiro químico durante o perído de execução da obra</t>
  </si>
  <si>
    <t>01 (um) container durante o período de execução da obra</t>
  </si>
  <si>
    <t>Ligações provisórias para 01 (um) container durante o período de execução da obra</t>
  </si>
  <si>
    <t>Mobilização de container</t>
  </si>
  <si>
    <t>Desmobilização de container</t>
  </si>
  <si>
    <t>Mês</t>
  </si>
  <si>
    <t>Quantidade
(horas/dia)</t>
  </si>
  <si>
    <t>Quantidade
(dia/mês)</t>
  </si>
  <si>
    <t>Quantidade (mês)</t>
  </si>
  <si>
    <t>Auxiliar de topógrafo com encargos complementares</t>
  </si>
  <si>
    <t>BDI</t>
  </si>
  <si>
    <t>Conforme legislação tributária municipal, definir estimativa de percentual da base de cálculo para o ISS:</t>
  </si>
  <si>
    <t>Sobre a base de cálculo, definir a respectiva alíquota do ISS (entre 2% e 5%):</t>
  </si>
  <si>
    <t>BDI 1</t>
  </si>
  <si>
    <t>TIPO DE OBRA</t>
  </si>
  <si>
    <t>Itens</t>
  </si>
  <si>
    <t>Siglas</t>
  </si>
  <si>
    <t>% Adotado</t>
  </si>
  <si>
    <t>AC</t>
  </si>
  <si>
    <t>SG</t>
  </si>
  <si>
    <t>R</t>
  </si>
  <si>
    <t>DF</t>
  </si>
  <si>
    <t>L</t>
  </si>
  <si>
    <t>Tributos (impostos COFINS 3%, e  PIS 0,65%)</t>
  </si>
  <si>
    <t>CP</t>
  </si>
  <si>
    <t>Tributos (ISS, variável de acordo com o município)</t>
  </si>
  <si>
    <t>ISS</t>
  </si>
  <si>
    <t>Tributos (Contribuição Previdenciária sobre a Receita Bruta - 0% ou 4,5% - Desoneração)</t>
  </si>
  <si>
    <t>CPRB</t>
  </si>
  <si>
    <t>BDI SEM desoneração (Fórmula Acórdão TCU)</t>
  </si>
  <si>
    <t>BDI PAD</t>
  </si>
  <si>
    <t>BDI COM desoneração</t>
  </si>
  <si>
    <t>BDI DES</t>
  </si>
  <si>
    <t>Os valores de BDI foram calculados com o emprego da fórmula:</t>
  </si>
  <si>
    <t>4.1</t>
  </si>
  <si>
    <t>Demolição manual de pavimento poliédrica, inclusive afastamento</t>
  </si>
  <si>
    <t>Carga de material de qualquer natureza sobre caminhão basculante, de forma mecanizada</t>
  </si>
  <si>
    <t>M3XKM</t>
  </si>
  <si>
    <t>Quantitade</t>
  </si>
  <si>
    <t>Distância (km)</t>
  </si>
  <si>
    <t>Empolamento</t>
  </si>
  <si>
    <t xml:space="preserve">Carga de pedras poliédricas para transporte até o estoque da Secretaria de Obras </t>
  </si>
  <si>
    <t xml:space="preserve">Transporte de pedras poliédricas até o estoque da Secretaria de Obras </t>
  </si>
  <si>
    <t>Remoção de meio-fio pré-moldado de concreto, inclusive carga</t>
  </si>
  <si>
    <t>Meio-fio em concreto pré-fabricado Fck ≥ 15MPa, dimensões 80x13x10x35 cm (comprimento x face inferior x face superior x altura), para vias urbanas, inclusive escavação e reaterro</t>
  </si>
  <si>
    <t>4.2</t>
  </si>
  <si>
    <t>Volume</t>
  </si>
  <si>
    <t>Referência
coeficiente</t>
  </si>
  <si>
    <t>Referência
custo unitário</t>
  </si>
  <si>
    <t>Fonte
custo unitário</t>
  </si>
  <si>
    <t>Custo unitário
(R$)</t>
  </si>
  <si>
    <t>Custo total
(R$)</t>
  </si>
  <si>
    <t>Boca de lobo simples, dimensões internas de 85x28x100cm (comp. x larg. x alt.) em alvenaria de blocos de concreto, cheios em concreto Fck ≥ 20MPa, sobre lastro de concreto 10cm, incluindo escavação e reaterro compactado, conforme projeto. Inclusive reboco para alvenaria interna, grelha GR 95 ferro fundido, cantoneira e bota fora (Tipo A - ferro fundido)</t>
  </si>
  <si>
    <t>Mobilização</t>
  </si>
  <si>
    <t>Dedução do volume ocupado pelos tubos</t>
  </si>
  <si>
    <t>Volume de escavação das valas</t>
  </si>
  <si>
    <t>Volume a ser deduzido</t>
  </si>
  <si>
    <t>Total a ser deduzido</t>
  </si>
  <si>
    <t>Locação de banheiro químico, dimensão (110x120x230)cm, linha padrão, contendo uma (1) pia/higienizador de mãos, inclusive manutenção e mobilização/desmobilização</t>
  </si>
  <si>
    <t>Locação de container com isolamento térmico, tipo 1, para escritório de obra/almoxarifado, com medidas referenciais de (6) metros de comprimentos, (2,3) metros de largura, (2,5) metros de altura útil interna, inclusive ar condicionado e ligações elétricas internas</t>
  </si>
  <si>
    <t>Pavimentação de via em piso de concreto pré-moldado intertravado sobre camada de assentamento em pó de pedra, espessura de 6 cm, incluindo fornecimento e transporte de todos os materiais</t>
  </si>
  <si>
    <t>Sarjeta em concreto usinado, Fck ≥ 35 MPa, 30cm de base x 10cm de altura, incluindo formas e compactação do terreno</t>
  </si>
  <si>
    <t>Preparo do fundo de vala com largura menor que 1,5 m</t>
  </si>
  <si>
    <t>Cone para sinalização/isolamento de áreas, altura 75 cm, inclusive fornecimento e movimentação</t>
  </si>
  <si>
    <t>Placa de aço carbono com película refletiva grau técnico tipo I da ABNT, placa retangular (execução, incluindo fornecimento e transporte de todos os materiais, inclusive poste de sustentação)</t>
  </si>
  <si>
    <t>RO-42193</t>
  </si>
  <si>
    <t>5.1</t>
  </si>
  <si>
    <t>5.2</t>
  </si>
  <si>
    <t>5.3</t>
  </si>
  <si>
    <t>5.5</t>
  </si>
  <si>
    <t>5.6</t>
  </si>
  <si>
    <t>6.1</t>
  </si>
  <si>
    <t>6.2</t>
  </si>
  <si>
    <t>6.3</t>
  </si>
  <si>
    <t>6.4</t>
  </si>
  <si>
    <t>6.5</t>
  </si>
  <si>
    <t>6.6</t>
  </si>
  <si>
    <t>6.7</t>
  </si>
  <si>
    <t>6.8</t>
  </si>
  <si>
    <t>Regularização e compactação de subleito de solo predominantemente argiloso</t>
  </si>
  <si>
    <t>Fornecimento e colocação de placa de obra em chapa galvanizada (3,00 x 1,50m) - em chapa galvanizada 0,26 afixadas com rebites 540 e parafusos 3/8, em estrutura metálica viga u 2" enrijecida com metalon 20 x 20, suporte em eucalipto autoclavado pintadas</t>
  </si>
  <si>
    <t>EVENTO</t>
  </si>
  <si>
    <t>ED-50392</t>
  </si>
  <si>
    <t>Mobilização e desmobilização de obra em centro urbano ou região limítrofe com valor até o valor de 1.000.000,00</t>
  </si>
  <si>
    <t>ED-50152</t>
  </si>
  <si>
    <t>ED-50155</t>
  </si>
  <si>
    <t>ED-50137</t>
  </si>
  <si>
    <t>ED-27006</t>
  </si>
  <si>
    <t>ED-48549</t>
  </si>
  <si>
    <t>ED-48490</t>
  </si>
  <si>
    <t>ED-51132</t>
  </si>
  <si>
    <t>ED-48472</t>
  </si>
  <si>
    <t>SETOP
(JUN/2022)</t>
  </si>
  <si>
    <t>3.2</t>
  </si>
  <si>
    <t>3.3</t>
  </si>
  <si>
    <t>3.4</t>
  </si>
  <si>
    <t>Engenheiro/Arquiteto Junior</t>
  </si>
  <si>
    <t>ED-21776</t>
  </si>
  <si>
    <t>Topografo com encargos complementares</t>
  </si>
  <si>
    <t>CO-27348</t>
  </si>
  <si>
    <t>SINAPI
(OUT/2022)</t>
  </si>
  <si>
    <t>5.7</t>
  </si>
  <si>
    <t>COMP-PMNE/MG</t>
  </si>
  <si>
    <t>5.8</t>
  </si>
  <si>
    <t>Poço de visita para drenagem pluvial em alvenaria de blocos de concreto, cheios em concreto Fck ≥ 20MPa, dimensões internas de 100X100cm, altura de 150 cm a 300 cm (varíável de acordo com perfil da rede), para rede DN 400mm e DN600mm, com tampa de concreto armado e reboco interno, incluindo escavação e reaterro compactado, conforme projeto</t>
  </si>
  <si>
    <t>COMP-1</t>
  </si>
  <si>
    <t>Descrição do insumo / serviço</t>
  </si>
  <si>
    <t>Execução de radier, espessura de 15 cm, Fck = 30 MPa, com uso de formas em madeira serrada inclusive execução de lastro com material granular (pedra britada n.2), escavação manual e compactação mecânica de solo</t>
  </si>
  <si>
    <t>Corte e dobra de aço CA-50, diâmetro de 10,0 mm (0,617kg/m), utilizado em estrutura diversas (Armadura positiva e negativa em duas direções para radier)</t>
  </si>
  <si>
    <t>Base para poço de visita retangular para drenagem, em alvenaria com blocos de concreto, dimensões internas = 1,00 x 1,00 m, profundidade = 1,50, excluindo tampão</t>
  </si>
  <si>
    <t>Confecção de tampa em concreto armado, com armadura de ø 10,00 mm em duas direções, para poço de visita, Fck ≥ 35 MPa, inclusive lançamento de concreto, adensamento com vibrador de imersão, acabamento e formas</t>
  </si>
  <si>
    <t>Corte e dobra de aço CA-50, diâmetro de 10,0 mm (0,617kg/m), utilizado em estrutura diversas (Armadura positiva e negativa em duas direções para tampa de concreto</t>
  </si>
  <si>
    <t>Reboco, em argamassa traço 1:3 (Em volume de cimento e areia média úmida) para paredes internas, preparo mecânico com betoneira 600 L, aplicado manualmente em faces internas de paredes, espessura de 35 mm.</t>
  </si>
  <si>
    <t>Armação do sistema de paredes com uso de tela Q-196 (3,11 kg/m2)</t>
  </si>
  <si>
    <t>Meses</t>
  </si>
  <si>
    <t>Base para caixa de passagem</t>
  </si>
  <si>
    <t>Direção</t>
  </si>
  <si>
    <t>Massa nominal
(kg/m2)</t>
  </si>
  <si>
    <t>Radier - Positiva</t>
  </si>
  <si>
    <t>Radier - Negativa</t>
  </si>
  <si>
    <t xml:space="preserve">Tampa para caixa de passagem </t>
  </si>
  <si>
    <t>Massa nominal
(kg/m)</t>
  </si>
  <si>
    <t>Tampa de concreto - Positiva</t>
  </si>
  <si>
    <t>Tampa de concreto - Negativa</t>
  </si>
  <si>
    <t>Espessura</t>
  </si>
  <si>
    <t>Paredes internas</t>
  </si>
  <si>
    <t>Referência coeficiente</t>
  </si>
  <si>
    <t>Referência custo unitário</t>
  </si>
  <si>
    <t>Custo unitário (R$)</t>
  </si>
  <si>
    <t>Custo total (R$)</t>
  </si>
  <si>
    <t>Lastro com material granular (pedra britada n.1), aplicado em pisos ou radiers, espessura de *10 cm*</t>
  </si>
  <si>
    <t>Escavação manual de viga de borda para radier</t>
  </si>
  <si>
    <t>Compactação mecânica de solo para execução de radier, com compactador de solos a percussão</t>
  </si>
  <si>
    <t>Fabricação, montagem e desmontagem de forma para radier, em madeira serrada, 4 utilizações</t>
  </si>
  <si>
    <t>Camada separadora para execução de radier, em lona plástica</t>
  </si>
  <si>
    <t>Armação para execução de radier, com uso de tela Q-196 (3,11 kg/m2)</t>
  </si>
  <si>
    <r>
      <t xml:space="preserve">Concretagem de radier, piso ou laje sobre solo, Fck </t>
    </r>
    <r>
      <rPr>
        <sz val="10"/>
        <rFont val="Calibri"/>
        <family val="2"/>
      </rPr>
      <t>≥</t>
    </r>
    <r>
      <rPr>
        <sz val="10"/>
        <rFont val="Arial"/>
        <family val="2"/>
      </rPr>
      <t xml:space="preserve"> 30 MPa, para espessura de 15 cm - Lançamento, adensamento e acabamento</t>
    </r>
  </si>
  <si>
    <t>ED-49621</t>
  </si>
  <si>
    <t>Caixa de passagem para drenagem pluvial, em alvenaria de blocos de concreto, cheios em concreto Fck ≥ 20MPa, dimensões internas de 100X100cm, altura ≤ 250cm, para rede DN 400mm e DN600mm, com tampa de concreto armado e reboco interno, incluindo escavação e reaterro compactado, conforme projeto</t>
  </si>
  <si>
    <t>COMP-3</t>
  </si>
  <si>
    <t>Base para poço de visita retangular para drenagem, em alvenaria com blocos de concreto, dimensões internas = 1x1 m, profundidade = 1,50 m, excluindo tampão. af_12/2020</t>
  </si>
  <si>
    <t>Corte e dobra de aço CA-50, diâmetro de 10,0 mm (0,617kg/m), utilizado em estrutura diversas (Armadura positiva e negativa em duas direções para tampa de concreto)</t>
  </si>
  <si>
    <t xml:space="preserve">Rua Custodio Costa Lage </t>
  </si>
  <si>
    <t>Rua Vicente Augusto</t>
  </si>
  <si>
    <t>Rua Antônio Muzzi (Final)</t>
  </si>
  <si>
    <t>Contrução de rodovias e ferrovias</t>
  </si>
  <si>
    <t>Administração Central</t>
  </si>
  <si>
    <t>Seguro e Garantia</t>
  </si>
  <si>
    <t>Risco</t>
  </si>
  <si>
    <t>Despesas Financeiras</t>
  </si>
  <si>
    <t>Lucro</t>
  </si>
  <si>
    <t>Declaro para os devidos fins que, conforme legislação tributária municipal, a base de cálculo deste tipo de obra corresponde à 90%, com a respectiva alíquota de 5%.</t>
  </si>
  <si>
    <t>Declaro para os devidos fins que o regime de Contribuição Previdenciária sobre a Receita Bruta adotado para elaboração do orçamento foi COM Desoneração, e que esta é a alternativa mais adequada para a Administração Pública.</t>
  </si>
  <si>
    <t xml:space="preserve">Desmobilização </t>
  </si>
  <si>
    <t>Placa de identificação de obra</t>
  </si>
  <si>
    <t>01 (um) engenheiro durante o perído de execução da obra</t>
  </si>
  <si>
    <t>01 (um) encarregado durante o perído de execução da obra</t>
  </si>
  <si>
    <t>01 (um) topografo durante o perído de execução da obra</t>
  </si>
  <si>
    <t>01 (um) auxiliar de topografo durante o perído de execução da obra</t>
  </si>
  <si>
    <t>Placa de sinalização de advertência de obras em ambos os lados da rua</t>
  </si>
  <si>
    <t>Ramal BL05&gt;PV13</t>
  </si>
  <si>
    <t>Rede principal Ø400mm - PV12 &gt; CP8</t>
  </si>
  <si>
    <t>Rede principal Ø400mm - CP8 &gt; PV13</t>
  </si>
  <si>
    <t>Área =
πxr²</t>
  </si>
  <si>
    <t>Ramal BL &gt; PV12</t>
  </si>
  <si>
    <t>Ramal BL &gt; CP8</t>
  </si>
  <si>
    <t>PV 12</t>
  </si>
  <si>
    <t>PV 13</t>
  </si>
  <si>
    <t>CP 8</t>
  </si>
  <si>
    <t>Rede principal Ø400mm</t>
  </si>
  <si>
    <t>Rua Antônio Muzzi</t>
  </si>
  <si>
    <t>ED-51130</t>
  </si>
  <si>
    <t>Transporte de material de qualquer natureza em caminhão basculante, DMT &gt; 5km, dentro do perímetro urbano</t>
  </si>
  <si>
    <t>RUA ANTÔNIO MUZZI</t>
  </si>
  <si>
    <t>RUA VICENTE AUGUSTO</t>
  </si>
  <si>
    <t>1º Trecho BL &gt; PV12</t>
  </si>
  <si>
    <t>2º Trecho BL &gt; PV12</t>
  </si>
  <si>
    <t>1º Trecho</t>
  </si>
  <si>
    <t>2º Trecho</t>
  </si>
  <si>
    <t>Rua Vicente Augusto - 1º trecho</t>
  </si>
  <si>
    <t>Rua Vicente Augusto - Área a ser pavimentada</t>
  </si>
  <si>
    <t>Rua Antônio Muzzi - Área a ser pavimentada</t>
  </si>
  <si>
    <t>Rua Antônio Muzzi - Demolição de meio fio existente danificado</t>
  </si>
  <si>
    <t>Rua Vicente Augusto - Demolição de meio fio existente danificado</t>
  </si>
  <si>
    <t xml:space="preserve">Rua Antônio Muzzi - Recomposição de meio fio  </t>
  </si>
  <si>
    <t>Rua Vicente Augusto - Recomposição de meio-fio</t>
  </si>
  <si>
    <t>Travamento de rua com meio fio - Inicio e fim da Rua Antônio Muzzi</t>
  </si>
  <si>
    <t>Travamento de rua com meio fio - Inicio e fim da Rua Vicente Augusto</t>
  </si>
  <si>
    <t>Travamento de rua com meio fio entre a rua Antônio Muzzi e Vicente Augusto</t>
  </si>
  <si>
    <t>1º Trecho - Área conforme levantamento topográfico</t>
  </si>
  <si>
    <t>2º Trecho - Área conforme levantamento topográfico</t>
  </si>
  <si>
    <t>LOTE 03 - Pavimentação de via em piso de concreto pré-moldado intertravado, tipo Sextavado - Rua Antônio Muzzi e Rua Vicente Augusto, bairro Santa Maria - Nova Era/MG</t>
  </si>
  <si>
    <r>
      <rPr>
        <b/>
        <sz val="11"/>
        <rFont val="Arial"/>
        <family val="2"/>
      </rPr>
      <t xml:space="preserve"> </t>
    </r>
    <r>
      <rPr>
        <sz val="11"/>
        <rFont val="Arial"/>
        <family val="2"/>
      </rPr>
      <t>Setor requisitante: Secretaria Municipal de Obras e Serviços Urbanos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</si>
</sst>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4" formatCode="_-&quot;R$&quot;\ * #,##0.00_-;\-&quot;R$&quot;\ * #,##0.00_-;_-&quot;R$&quot;\ * &quot;-&quot;??_-;_-@_-"/>
    <numFmt numFmtId="43" formatCode="_-* #,##0.00_-;\-* #,##0.00_-;_-* &quot;-&quot;??_-;_-@_-"/>
    <numFmt numFmtId="164" formatCode="&quot;R$&quot;\ #,##0.00"/>
    <numFmt numFmtId="165" formatCode="0.00\ &quot;%&quot;"/>
    <numFmt numFmtId="166" formatCode="_(* #,##0.00_);_(* \(#,##0.00\);_(* &quot;-&quot;??_);_(@_)"/>
    <numFmt numFmtId="167" formatCode="00"/>
    <numFmt numFmtId="168" formatCode="000"/>
    <numFmt numFmtId="169" formatCode="#,##0.0000000"/>
    <numFmt numFmtId="170" formatCode="#,##0.00;#,##0.00;&quot;-&quot;_-;_-@_-"/>
    <numFmt numFmtId="171" formatCode="_(* #,##0_);_(* \(#,##0\);_(* &quot;-&quot;??_);_(@_)"/>
    <numFmt numFmtId="172" formatCode="#,##0.000"/>
    <numFmt numFmtId="173" formatCode="0.0000"/>
    <numFmt numFmtId="174" formatCode="0.000"/>
    <numFmt numFmtId="175" formatCode="#,##0.00000"/>
  </numFmts>
  <fonts count="22" x14ac:knownFonts="1">
    <font>
      <sz val="11"/>
      <color theme="1"/>
      <name val="Calibri"/>
      <family val="2"/>
      <scheme val="minor"/>
    </font>
    <font>
      <sz val="11"/>
      <color theme="1"/>
      <name val="Calibri"/>
      <family val="2"/>
      <scheme val="minor"/>
    </font>
    <font>
      <b/>
      <sz val="14"/>
      <name val="Arial"/>
      <family val="2"/>
    </font>
    <font>
      <b/>
      <sz val="11"/>
      <name val="Arial"/>
      <family val="2"/>
    </font>
    <font>
      <sz val="10"/>
      <name val="Arial"/>
      <family val="2"/>
    </font>
    <font>
      <b/>
      <sz val="10"/>
      <name val="Arial"/>
      <family val="2"/>
    </font>
    <font>
      <sz val="11"/>
      <name val="Arial"/>
      <family val="2"/>
    </font>
    <font>
      <sz val="8"/>
      <name val="Arial"/>
      <family val="2"/>
    </font>
    <font>
      <sz val="10"/>
      <name val="Calibri"/>
      <family val="2"/>
    </font>
    <font>
      <sz val="10.5"/>
      <name val="Arial"/>
      <family val="2"/>
    </font>
    <font>
      <b/>
      <sz val="10.5"/>
      <name val="Arial"/>
      <family val="2"/>
    </font>
    <font>
      <sz val="10"/>
      <color indexed="8"/>
      <name val="Arial"/>
      <family val="2"/>
    </font>
    <font>
      <b/>
      <sz val="11"/>
      <color theme="1"/>
      <name val="Calibri"/>
      <family val="2"/>
      <scheme val="minor"/>
    </font>
    <font>
      <sz val="9"/>
      <name val="Arial"/>
      <family val="2"/>
    </font>
    <font>
      <b/>
      <sz val="10"/>
      <color indexed="8"/>
      <name val="Arial"/>
      <family val="2"/>
    </font>
    <font>
      <sz val="10"/>
      <name val="Arial"/>
      <family val="2"/>
    </font>
    <font>
      <sz val="8"/>
      <name val="Calibri"/>
      <family val="2"/>
      <scheme val="minor"/>
    </font>
    <font>
      <sz val="11"/>
      <color rgb="FFFF0000"/>
      <name val="Arial"/>
      <family val="2"/>
    </font>
    <font>
      <sz val="10"/>
      <color theme="1"/>
      <name val="Arial"/>
      <family val="2"/>
    </font>
    <font>
      <sz val="9"/>
      <color indexed="81"/>
      <name val="Segoe UI"/>
      <family val="2"/>
    </font>
    <font>
      <b/>
      <sz val="9"/>
      <color indexed="81"/>
      <name val="Segoe UI"/>
      <family val="2"/>
    </font>
    <font>
      <sz val="10"/>
      <color rgb="FF0070C0"/>
      <name val="Arial"/>
      <family val="2"/>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indexed="9"/>
        <bgColor indexed="64"/>
      </patternFill>
    </fill>
    <fill>
      <patternFill patternType="solid">
        <fgColor theme="6" tint="0.79998168889431442"/>
        <bgColor indexed="64"/>
      </patternFill>
    </fill>
    <fill>
      <patternFill patternType="solid">
        <fgColor indexed="43"/>
        <bgColor indexed="26"/>
      </patternFill>
    </fill>
    <fill>
      <patternFill patternType="solid">
        <fgColor theme="3" tint="0.79998168889431442"/>
        <bgColor indexed="64"/>
      </patternFill>
    </fill>
    <fill>
      <patternFill patternType="solid">
        <fgColor indexed="22"/>
        <bgColor indexed="44"/>
      </patternFill>
    </fill>
    <fill>
      <patternFill patternType="solid">
        <fgColor theme="0"/>
        <bgColor indexed="44"/>
      </patternFill>
    </fill>
    <fill>
      <patternFill patternType="solid">
        <fgColor theme="0" tint="-0.24997711111789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diagonalDown="1">
      <left/>
      <right style="thin">
        <color indexed="64"/>
      </right>
      <top/>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0">
    <xf numFmtId="0" fontId="0" fillId="0" borderId="0"/>
    <xf numFmtId="43" fontId="1" fillId="0" borderId="0" applyFont="0" applyFill="0" applyBorder="0" applyAlignment="0" applyProtection="0"/>
    <xf numFmtId="0" fontId="4" fillId="0" borderId="0"/>
    <xf numFmtId="166" fontId="4" fillId="0" borderId="0" applyFont="0" applyFill="0" applyBorder="0" applyAlignment="0" applyProtection="0"/>
    <xf numFmtId="9"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5" fillId="0" borderId="0"/>
    <xf numFmtId="44" fontId="1" fillId="0" borderId="0" applyFont="0" applyFill="0" applyBorder="0" applyAlignment="0" applyProtection="0"/>
    <xf numFmtId="43" fontId="4" fillId="0" borderId="0" applyFont="0" applyFill="0" applyBorder="0" applyAlignment="0" applyProtection="0"/>
  </cellStyleXfs>
  <cellXfs count="285">
    <xf numFmtId="0" fontId="0" fillId="0" borderId="0" xfId="0"/>
    <xf numFmtId="0" fontId="6" fillId="4" borderId="0" xfId="0" applyFont="1" applyFill="1"/>
    <xf numFmtId="2" fontId="5" fillId="3" borderId="1" xfId="0" applyNumberFormat="1" applyFont="1" applyFill="1" applyBorder="1" applyAlignment="1">
      <alignment horizontal="center" vertical="center"/>
    </xf>
    <xf numFmtId="164" fontId="5" fillId="3" borderId="1" xfId="0" applyNumberFormat="1" applyFont="1" applyFill="1" applyBorder="1" applyAlignment="1">
      <alignment horizontal="center" vertical="center" wrapText="1"/>
    </xf>
    <xf numFmtId="164" fontId="6" fillId="4" borderId="0" xfId="0" applyNumberFormat="1" applyFont="1" applyFill="1"/>
    <xf numFmtId="4" fontId="4" fillId="3" borderId="1" xfId="0" applyNumberFormat="1" applyFont="1" applyFill="1" applyBorder="1" applyAlignment="1">
      <alignment horizontal="center" vertical="center"/>
    </xf>
    <xf numFmtId="164" fontId="5" fillId="3" borderId="1" xfId="0" applyNumberFormat="1" applyFont="1" applyFill="1" applyBorder="1" applyAlignment="1">
      <alignment horizontal="center" vertical="center"/>
    </xf>
    <xf numFmtId="167" fontId="6" fillId="4" borderId="0" xfId="0" applyNumberFormat="1" applyFont="1" applyFill="1" applyAlignment="1">
      <alignment horizontal="center" vertical="center"/>
    </xf>
    <xf numFmtId="166" fontId="4" fillId="3" borderId="1" xfId="3" applyFont="1" applyFill="1" applyBorder="1" applyAlignment="1">
      <alignment horizontal="center" vertical="center" wrapText="1"/>
    </xf>
    <xf numFmtId="0" fontId="6" fillId="4" borderId="0" xfId="0" applyFont="1" applyFill="1" applyAlignment="1">
      <alignment wrapText="1"/>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0" fillId="4" borderId="0" xfId="0" applyFill="1"/>
    <xf numFmtId="0" fontId="0" fillId="4" borderId="0" xfId="0" applyFill="1" applyAlignment="1">
      <alignment horizontal="center"/>
    </xf>
    <xf numFmtId="169"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2" borderId="1" xfId="0" applyFont="1" applyFill="1" applyBorder="1" applyAlignment="1">
      <alignment horizontal="center" vertical="center"/>
    </xf>
    <xf numFmtId="0" fontId="0" fillId="4" borderId="0" xfId="0" applyFill="1" applyAlignment="1">
      <alignment wrapText="1"/>
    </xf>
    <xf numFmtId="0" fontId="0" fillId="4" borderId="0" xfId="0" applyFill="1" applyAlignment="1">
      <alignment horizontal="center" vertical="center"/>
    </xf>
    <xf numFmtId="49" fontId="11" fillId="6" borderId="1" xfId="2" applyNumberFormat="1" applyFont="1" applyFill="1" applyBorder="1" applyAlignment="1">
      <alignment horizontal="center" vertical="center" wrapText="1"/>
    </xf>
    <xf numFmtId="10" fontId="13" fillId="3" borderId="13" xfId="2" applyNumberFormat="1" applyFont="1" applyFill="1" applyBorder="1" applyAlignment="1">
      <alignment vertical="center" wrapText="1"/>
    </xf>
    <xf numFmtId="4" fontId="12" fillId="4" borderId="0" xfId="0" applyNumberFormat="1" applyFont="1" applyFill="1" applyAlignment="1">
      <alignment horizontal="center" vertical="center"/>
    </xf>
    <xf numFmtId="49" fontId="14" fillId="2" borderId="1" xfId="2" applyNumberFormat="1" applyFont="1" applyFill="1" applyBorder="1" applyAlignment="1">
      <alignment horizontal="center" vertical="center" wrapText="1"/>
    </xf>
    <xf numFmtId="10" fontId="5" fillId="2" borderId="1" xfId="0" applyNumberFormat="1" applyFont="1" applyFill="1" applyBorder="1" applyAlignment="1">
      <alignment horizontal="center" vertical="center"/>
    </xf>
    <xf numFmtId="49" fontId="11" fillId="7" borderId="1" xfId="2" applyNumberFormat="1" applyFont="1" applyFill="1" applyBorder="1" applyAlignment="1">
      <alignment horizontal="center" vertical="center" wrapText="1"/>
    </xf>
    <xf numFmtId="10" fontId="4" fillId="7" borderId="1" xfId="0" applyNumberFormat="1" applyFont="1" applyFill="1" applyBorder="1" applyAlignment="1">
      <alignment horizontal="center" vertical="center"/>
    </xf>
    <xf numFmtId="0" fontId="4" fillId="3" borderId="1" xfId="3" applyNumberFormat="1" applyFont="1" applyFill="1" applyBorder="1" applyAlignment="1">
      <alignment horizontal="justify" vertical="center" wrapText="1"/>
    </xf>
    <xf numFmtId="44" fontId="4" fillId="3" borderId="1" xfId="8" applyFont="1" applyFill="1" applyBorder="1" applyAlignment="1">
      <alignment horizontal="left" vertical="center" wrapText="1"/>
    </xf>
    <xf numFmtId="44" fontId="0" fillId="4" borderId="0" xfId="0" applyNumberFormat="1" applyFill="1"/>
    <xf numFmtId="0" fontId="17" fillId="4" borderId="0" xfId="0" applyFont="1" applyFill="1"/>
    <xf numFmtId="49" fontId="7" fillId="3" borderId="1" xfId="3" applyNumberFormat="1" applyFont="1" applyFill="1" applyBorder="1" applyAlignment="1">
      <alignment horizontal="center" vertical="center" wrapText="1"/>
    </xf>
    <xf numFmtId="0" fontId="5" fillId="2" borderId="1" xfId="3" applyNumberFormat="1" applyFont="1" applyFill="1" applyBorder="1" applyAlignment="1">
      <alignment horizontal="center" vertical="center"/>
    </xf>
    <xf numFmtId="171" fontId="5" fillId="2" borderId="1" xfId="3" applyNumberFormat="1" applyFont="1" applyFill="1" applyBorder="1" applyAlignment="1">
      <alignment horizontal="center" vertical="center" wrapText="1"/>
    </xf>
    <xf numFmtId="0" fontId="4" fillId="3" borderId="1" xfId="3" applyNumberFormat="1"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0" fontId="7" fillId="3" borderId="1" xfId="9" applyNumberFormat="1" applyFont="1" applyFill="1" applyBorder="1" applyAlignment="1">
      <alignment horizontal="center" vertical="center" wrapText="1"/>
    </xf>
    <xf numFmtId="10" fontId="6" fillId="8" borderId="1" xfId="2" applyNumberFormat="1" applyFont="1" applyFill="1" applyBorder="1" applyAlignment="1" applyProtection="1">
      <alignment horizontal="center" vertical="center"/>
      <protection locked="0"/>
    </xf>
    <xf numFmtId="0" fontId="6" fillId="4" borderId="0" xfId="0" applyFont="1" applyFill="1" applyAlignment="1">
      <alignment horizontal="center" vertical="center" wrapText="1"/>
    </xf>
    <xf numFmtId="0" fontId="7" fillId="3" borderId="1" xfId="3" applyNumberFormat="1" applyFont="1" applyFill="1" applyBorder="1" applyAlignment="1">
      <alignment horizontal="center" vertical="center" wrapText="1"/>
    </xf>
    <xf numFmtId="2" fontId="4" fillId="3" borderId="1" xfId="0" applyNumberFormat="1" applyFont="1" applyFill="1" applyBorder="1" applyAlignment="1">
      <alignment horizontal="center" vertical="center"/>
    </xf>
    <xf numFmtId="0" fontId="7" fillId="3" borderId="1" xfId="0" applyFont="1" applyFill="1" applyBorder="1" applyAlignment="1">
      <alignment horizontal="center" vertical="center"/>
    </xf>
    <xf numFmtId="4" fontId="5" fillId="5" borderId="1" xfId="0" applyNumberFormat="1" applyFont="1" applyFill="1" applyBorder="1" applyAlignment="1">
      <alignment horizontal="center" vertical="center"/>
    </xf>
    <xf numFmtId="10" fontId="12" fillId="4" borderId="0" xfId="4" applyNumberFormat="1" applyFont="1" applyFill="1" applyAlignment="1">
      <alignment horizontal="center" vertical="center"/>
    </xf>
    <xf numFmtId="44" fontId="6" fillId="4" borderId="0" xfId="0" applyNumberFormat="1" applyFont="1" applyFill="1"/>
    <xf numFmtId="2" fontId="6" fillId="4" borderId="0" xfId="0" applyNumberFormat="1" applyFont="1" applyFill="1" applyAlignment="1">
      <alignment horizontal="center" vertical="center"/>
    </xf>
    <xf numFmtId="2" fontId="6" fillId="4" borderId="0" xfId="0" applyNumberFormat="1" applyFont="1" applyFill="1"/>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12" borderId="1" xfId="0" applyFont="1" applyFill="1" applyBorder="1" applyAlignment="1">
      <alignment horizontal="center" vertical="center"/>
    </xf>
    <xf numFmtId="44" fontId="5" fillId="5" borderId="1" xfId="8" applyFont="1" applyFill="1" applyBorder="1" applyAlignment="1">
      <alignment horizontal="center" vertical="center"/>
    </xf>
    <xf numFmtId="44" fontId="5" fillId="2" borderId="1" xfId="8" applyFont="1" applyFill="1" applyBorder="1" applyAlignment="1">
      <alignment horizontal="center" vertical="center"/>
    </xf>
    <xf numFmtId="2" fontId="5" fillId="2" borderId="1" xfId="0" applyNumberFormat="1" applyFont="1" applyFill="1" applyBorder="1" applyAlignment="1">
      <alignment horizontal="center" vertical="center" wrapText="1"/>
    </xf>
    <xf numFmtId="172" fontId="4" fillId="3" borderId="1" xfId="0" applyNumberFormat="1" applyFont="1" applyFill="1" applyBorder="1" applyAlignment="1">
      <alignment horizontal="center" vertical="center"/>
    </xf>
    <xf numFmtId="168" fontId="5" fillId="2" borderId="1" xfId="0" applyNumberFormat="1" applyFont="1" applyFill="1" applyBorder="1" applyAlignment="1">
      <alignment horizontal="center" vertical="center"/>
    </xf>
    <xf numFmtId="4" fontId="0" fillId="4" borderId="0" xfId="0" applyNumberFormat="1" applyFill="1"/>
    <xf numFmtId="4" fontId="5" fillId="2" borderId="1" xfId="0" applyNumberFormat="1" applyFont="1" applyFill="1" applyBorder="1" applyAlignment="1">
      <alignment horizontal="center" vertical="center"/>
    </xf>
    <xf numFmtId="4" fontId="12" fillId="4" borderId="3" xfId="0" applyNumberFormat="1" applyFont="1" applyFill="1" applyBorder="1" applyAlignment="1">
      <alignment horizontal="center" vertical="center"/>
    </xf>
    <xf numFmtId="4" fontId="12" fillId="4" borderId="12" xfId="0" applyNumberFormat="1" applyFont="1" applyFill="1" applyBorder="1" applyAlignment="1">
      <alignment horizontal="center" vertical="center"/>
    </xf>
    <xf numFmtId="0" fontId="0" fillId="4" borderId="3" xfId="0" applyFill="1" applyBorder="1"/>
    <xf numFmtId="10" fontId="12" fillId="4" borderId="12" xfId="4" applyNumberFormat="1" applyFont="1" applyFill="1" applyBorder="1" applyAlignment="1">
      <alignment horizontal="center" vertical="center"/>
    </xf>
    <xf numFmtId="4" fontId="12" fillId="4" borderId="6" xfId="0" applyNumberFormat="1" applyFont="1" applyFill="1" applyBorder="1" applyAlignment="1">
      <alignment horizontal="center" vertical="center"/>
    </xf>
    <xf numFmtId="4" fontId="12" fillId="4" borderId="7" xfId="0" applyNumberFormat="1" applyFont="1" applyFill="1" applyBorder="1" applyAlignment="1">
      <alignment horizontal="center" vertical="center"/>
    </xf>
    <xf numFmtId="4" fontId="12" fillId="4" borderId="8" xfId="0" applyNumberFormat="1" applyFont="1" applyFill="1" applyBorder="1" applyAlignment="1">
      <alignment horizontal="center" vertical="center"/>
    </xf>
    <xf numFmtId="10" fontId="13" fillId="2" borderId="13" xfId="2" applyNumberFormat="1" applyFont="1" applyFill="1" applyBorder="1" applyAlignment="1">
      <alignment vertical="center" wrapText="1"/>
    </xf>
    <xf numFmtId="170" fontId="5" fillId="2" borderId="1" xfId="0" applyNumberFormat="1" applyFont="1" applyFill="1" applyBorder="1" applyAlignment="1">
      <alignment horizontal="center" vertical="center"/>
    </xf>
    <xf numFmtId="10" fontId="13" fillId="2" borderId="14" xfId="2" applyNumberFormat="1" applyFont="1" applyFill="1" applyBorder="1" applyAlignment="1">
      <alignment vertical="center" wrapText="1"/>
    </xf>
    <xf numFmtId="166" fontId="7" fillId="3" borderId="1" xfId="3" applyFont="1" applyFill="1" applyBorder="1" applyAlignment="1">
      <alignment horizontal="center" vertical="center" wrapText="1"/>
    </xf>
    <xf numFmtId="173" fontId="6" fillId="4" borderId="0" xfId="0" applyNumberFormat="1" applyFont="1" applyFill="1"/>
    <xf numFmtId="173" fontId="6" fillId="4" borderId="0" xfId="0" applyNumberFormat="1" applyFont="1" applyFill="1" applyAlignment="1">
      <alignment horizontal="center" vertical="center"/>
    </xf>
    <xf numFmtId="4" fontId="3" fillId="0" borderId="1" xfId="2" applyNumberFormat="1" applyFont="1" applyFill="1" applyBorder="1" applyAlignment="1" applyProtection="1">
      <alignment horizontal="center" vertical="center" wrapText="1"/>
    </xf>
    <xf numFmtId="0" fontId="6" fillId="0" borderId="1" xfId="2" applyFont="1" applyBorder="1" applyAlignment="1" applyProtection="1">
      <alignment horizontal="center" vertical="center"/>
    </xf>
    <xf numFmtId="10" fontId="6" fillId="0" borderId="1" xfId="2" applyNumberFormat="1" applyFont="1" applyFill="1" applyBorder="1" applyAlignment="1" applyProtection="1">
      <alignment horizontal="center" vertical="center"/>
    </xf>
    <xf numFmtId="0" fontId="6" fillId="0" borderId="1" xfId="2" applyFont="1" applyFill="1" applyBorder="1" applyAlignment="1" applyProtection="1">
      <alignment horizontal="center" vertical="center" wrapText="1"/>
    </xf>
    <xf numFmtId="10" fontId="6" fillId="4" borderId="0" xfId="0" applyNumberFormat="1" applyFont="1" applyFill="1" applyAlignment="1">
      <alignment horizontal="center" vertical="center" wrapText="1"/>
    </xf>
    <xf numFmtId="10" fontId="3" fillId="10" borderId="1" xfId="2" applyNumberFormat="1" applyFont="1" applyFill="1" applyBorder="1" applyAlignment="1" applyProtection="1">
      <alignment horizontal="center" vertical="center"/>
    </xf>
    <xf numFmtId="0" fontId="4" fillId="4" borderId="0" xfId="0" applyFont="1" applyFill="1" applyAlignment="1">
      <alignment horizontal="center" vertical="center" wrapText="1"/>
    </xf>
    <xf numFmtId="2" fontId="18" fillId="0" borderId="1" xfId="0" applyNumberFormat="1" applyFont="1" applyBorder="1" applyAlignment="1">
      <alignment horizontal="center" vertical="center"/>
    </xf>
    <xf numFmtId="0" fontId="5" fillId="2" borderId="1" xfId="0" applyFont="1" applyFill="1" applyBorder="1" applyAlignment="1">
      <alignment horizontal="center" vertical="center"/>
    </xf>
    <xf numFmtId="0" fontId="4" fillId="3"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7" fillId="3"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2" fontId="4" fillId="3" borderId="1" xfId="0" applyNumberFormat="1" applyFont="1" applyFill="1" applyBorder="1" applyAlignment="1">
      <alignment horizontal="center" vertical="center" wrapText="1"/>
    </xf>
    <xf numFmtId="2" fontId="0" fillId="3" borderId="1" xfId="0" applyNumberFormat="1" applyFill="1" applyBorder="1" applyAlignment="1">
      <alignment horizontal="center" vertical="center" wrapText="1"/>
    </xf>
    <xf numFmtId="2" fontId="5" fillId="3" borderId="1" xfId="0" applyNumberFormat="1" applyFont="1" applyFill="1" applyBorder="1" applyAlignment="1">
      <alignment horizontal="center" vertical="center" wrapText="1"/>
    </xf>
    <xf numFmtId="174" fontId="4" fillId="3" borderId="1" xfId="0"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0" fontId="21" fillId="4" borderId="0" xfId="0" applyFont="1" applyFill="1"/>
    <xf numFmtId="167" fontId="21" fillId="4" borderId="0" xfId="0" applyNumberFormat="1" applyFont="1" applyFill="1" applyAlignment="1">
      <alignment horizontal="center" vertical="center"/>
    </xf>
    <xf numFmtId="0" fontId="5" fillId="2" borderId="16" xfId="0" applyFont="1" applyFill="1" applyBorder="1" applyAlignment="1">
      <alignment horizontal="center" vertical="center" wrapText="1"/>
    </xf>
    <xf numFmtId="0" fontId="4" fillId="3" borderId="1" xfId="0" applyFont="1" applyFill="1" applyBorder="1" applyAlignment="1">
      <alignment vertical="center"/>
    </xf>
    <xf numFmtId="167" fontId="0" fillId="4" borderId="0" xfId="0" applyNumberFormat="1" applyFill="1" applyAlignment="1">
      <alignment horizontal="center" vertical="center"/>
    </xf>
    <xf numFmtId="0" fontId="4" fillId="3"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166" fontId="6" fillId="4" borderId="0" xfId="3" applyFont="1" applyFill="1"/>
    <xf numFmtId="167" fontId="6" fillId="4" borderId="0" xfId="3" applyNumberFormat="1" applyFont="1" applyFill="1" applyAlignment="1">
      <alignment horizontal="center" vertical="center"/>
    </xf>
    <xf numFmtId="4" fontId="4" fillId="3" borderId="1" xfId="0" applyNumberFormat="1" applyFont="1" applyFill="1" applyBorder="1" applyAlignment="1">
      <alignment horizontal="center" vertical="center" wrapText="1"/>
    </xf>
    <xf numFmtId="4" fontId="5" fillId="3" borderId="1" xfId="0" applyNumberFormat="1" applyFont="1" applyFill="1" applyBorder="1" applyAlignment="1">
      <alignment horizontal="center" vertical="center" wrapText="1"/>
    </xf>
    <xf numFmtId="0" fontId="0" fillId="4" borderId="0" xfId="0" applyFill="1" applyAlignment="1">
      <alignment horizontal="center" vertical="center" wrapText="1"/>
    </xf>
    <xf numFmtId="0" fontId="4" fillId="3" borderId="9" xfId="0" applyFont="1" applyFill="1" applyBorder="1" applyAlignment="1">
      <alignment horizontal="left" vertical="center" wrapText="1"/>
    </xf>
    <xf numFmtId="4" fontId="5" fillId="3" borderId="1" xfId="0" applyNumberFormat="1" applyFont="1" applyFill="1" applyBorder="1" applyAlignment="1">
      <alignment horizontal="center" vertical="center"/>
    </xf>
    <xf numFmtId="2" fontId="18" fillId="0" borderId="1" xfId="0" applyNumberFormat="1" applyFont="1" applyBorder="1" applyAlignment="1">
      <alignment horizontal="center" vertical="center"/>
    </xf>
    <xf numFmtId="0" fontId="3" fillId="0" borderId="1" xfId="2" applyFont="1" applyBorder="1" applyAlignment="1" applyProtection="1">
      <alignment horizontal="center" vertical="center"/>
    </xf>
    <xf numFmtId="0" fontId="6" fillId="10" borderId="1" xfId="2" applyFont="1" applyFill="1" applyBorder="1" applyAlignment="1" applyProtection="1">
      <alignment horizontal="center" vertical="center" wrapText="1"/>
    </xf>
    <xf numFmtId="0" fontId="6" fillId="11" borderId="4" xfId="2" applyFont="1" applyFill="1" applyBorder="1" applyAlignment="1" applyProtection="1">
      <alignment horizontal="center" vertical="center" wrapText="1"/>
    </xf>
    <xf numFmtId="0" fontId="6" fillId="11" borderId="2" xfId="2" applyFont="1" applyFill="1" applyBorder="1" applyAlignment="1" applyProtection="1">
      <alignment horizontal="center" vertical="center" wrapText="1"/>
    </xf>
    <xf numFmtId="0" fontId="6" fillId="11" borderId="5" xfId="2" applyFont="1" applyFill="1" applyBorder="1" applyAlignment="1" applyProtection="1">
      <alignment horizontal="center" vertical="center" wrapText="1"/>
    </xf>
    <xf numFmtId="0" fontId="5" fillId="2" borderId="1" xfId="0" applyFont="1" applyFill="1" applyBorder="1" applyAlignment="1">
      <alignment horizontal="center" vertical="center" wrapText="1"/>
    </xf>
    <xf numFmtId="4" fontId="4" fillId="0" borderId="1" xfId="0" applyNumberFormat="1" applyFont="1" applyBorder="1" applyAlignment="1">
      <alignment horizontal="center" vertical="center"/>
    </xf>
    <xf numFmtId="175" fontId="4" fillId="3" borderId="1" xfId="0" applyNumberFormat="1" applyFont="1" applyFill="1" applyBorder="1" applyAlignment="1">
      <alignment horizontal="center" vertical="center"/>
    </xf>
    <xf numFmtId="0" fontId="5" fillId="3" borderId="1" xfId="0" applyFont="1" applyFill="1" applyBorder="1" applyAlignment="1">
      <alignment horizontal="center" vertical="center" wrapText="1"/>
    </xf>
    <xf numFmtId="2" fontId="18" fillId="0" borderId="1" xfId="0" applyNumberFormat="1" applyFont="1" applyBorder="1" applyAlignment="1">
      <alignment horizontal="center" vertical="center"/>
    </xf>
    <xf numFmtId="2" fontId="5" fillId="0" borderId="16" xfId="0" applyNumberFormat="1" applyFont="1" applyBorder="1" applyAlignment="1">
      <alignment horizontal="center" vertical="center"/>
    </xf>
    <xf numFmtId="0" fontId="4" fillId="3" borderId="1" xfId="0" applyFont="1" applyFill="1" applyBorder="1" applyAlignment="1">
      <alignment horizontal="center" vertical="center" wrapText="1"/>
    </xf>
    <xf numFmtId="0" fontId="5" fillId="3" borderId="1" xfId="0" applyFont="1" applyFill="1" applyBorder="1" applyAlignment="1">
      <alignment vertical="center"/>
    </xf>
    <xf numFmtId="0" fontId="4" fillId="0" borderId="1" xfId="0" applyFont="1" applyBorder="1" applyAlignment="1">
      <alignment horizontal="center" vertical="center"/>
    </xf>
    <xf numFmtId="44" fontId="4" fillId="3" borderId="1" xfId="0" applyNumberFormat="1" applyFont="1" applyFill="1" applyBorder="1" applyAlignment="1">
      <alignment horizontal="center" vertical="center"/>
    </xf>
    <xf numFmtId="0" fontId="5" fillId="2" borderId="1" xfId="3" applyNumberFormat="1" applyFont="1" applyFill="1" applyBorder="1" applyAlignment="1">
      <alignment horizontal="left" vertical="center" wrapText="1"/>
    </xf>
    <xf numFmtId="166" fontId="5" fillId="5" borderId="1" xfId="3" applyFont="1" applyFill="1" applyBorder="1" applyAlignment="1">
      <alignment horizontal="right" vertical="center" wrapText="1"/>
    </xf>
    <xf numFmtId="0" fontId="5" fillId="5" borderId="1" xfId="0" applyFont="1" applyFill="1" applyBorder="1" applyAlignment="1">
      <alignment horizontal="right" vertical="center"/>
    </xf>
    <xf numFmtId="0" fontId="3" fillId="2" borderId="1" xfId="0" applyFont="1" applyFill="1" applyBorder="1" applyAlignment="1">
      <alignment horizontal="center" vertical="center"/>
    </xf>
    <xf numFmtId="0" fontId="5" fillId="2" borderId="1" xfId="0" applyFont="1" applyFill="1" applyBorder="1" applyAlignment="1">
      <alignment horizontal="left" vertical="center"/>
    </xf>
    <xf numFmtId="0" fontId="2" fillId="3" borderId="1" xfId="3" applyNumberFormat="1" applyFont="1" applyFill="1" applyBorder="1" applyAlignment="1">
      <alignment horizontal="center" vertical="center" wrapText="1"/>
    </xf>
    <xf numFmtId="0" fontId="6" fillId="3" borderId="1" xfId="0" applyFont="1" applyFill="1" applyBorder="1" applyAlignment="1">
      <alignment horizontal="center" vertical="center"/>
    </xf>
    <xf numFmtId="0" fontId="3" fillId="3" borderId="1" xfId="0" applyFont="1" applyFill="1" applyBorder="1" applyAlignment="1">
      <alignment horizontal="center" vertical="center"/>
    </xf>
    <xf numFmtId="164" fontId="3" fillId="3" borderId="1" xfId="0" applyNumberFormat="1" applyFont="1" applyFill="1" applyBorder="1" applyAlignment="1">
      <alignment horizontal="center" vertical="center"/>
    </xf>
    <xf numFmtId="10" fontId="3" fillId="3" borderId="1" xfId="0" applyNumberFormat="1" applyFont="1" applyFill="1" applyBorder="1" applyAlignment="1">
      <alignment horizontal="center" vertical="center"/>
    </xf>
    <xf numFmtId="14" fontId="3" fillId="3" borderId="1" xfId="0" applyNumberFormat="1" applyFont="1" applyFill="1" applyBorder="1" applyAlignment="1">
      <alignment horizontal="center" vertical="center"/>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9" fillId="3" borderId="6" xfId="0" applyFont="1" applyFill="1" applyBorder="1" applyAlignment="1">
      <alignment vertical="center" wrapText="1"/>
    </xf>
    <xf numFmtId="0" fontId="9" fillId="3" borderId="7" xfId="0" applyFont="1" applyFill="1" applyBorder="1" applyAlignment="1">
      <alignment vertical="center" wrapText="1"/>
    </xf>
    <xf numFmtId="0" fontId="9" fillId="3" borderId="8" xfId="0" applyFont="1" applyFill="1" applyBorder="1" applyAlignment="1">
      <alignment vertical="center" wrapText="1"/>
    </xf>
    <xf numFmtId="0" fontId="5" fillId="2" borderId="1" xfId="0" applyFont="1" applyFill="1" applyBorder="1" applyAlignment="1">
      <alignment horizontal="right" vertical="center"/>
    </xf>
    <xf numFmtId="0" fontId="10" fillId="3" borderId="4" xfId="0" applyFont="1" applyFill="1" applyBorder="1" applyAlignment="1">
      <alignment horizontal="left" vertical="center"/>
    </xf>
    <xf numFmtId="0" fontId="10" fillId="3" borderId="2" xfId="0" applyFont="1" applyFill="1" applyBorder="1" applyAlignment="1">
      <alignment horizontal="left" vertical="center"/>
    </xf>
    <xf numFmtId="0" fontId="10" fillId="3" borderId="5" xfId="0" applyFont="1" applyFill="1" applyBorder="1" applyAlignment="1">
      <alignment horizontal="left" vertical="center"/>
    </xf>
    <xf numFmtId="0" fontId="9" fillId="3" borderId="3" xfId="0" applyFont="1" applyFill="1" applyBorder="1" applyAlignment="1">
      <alignment vertical="center" wrapText="1"/>
    </xf>
    <xf numFmtId="0" fontId="9" fillId="3" borderId="0" xfId="0" applyFont="1" applyFill="1" applyAlignment="1">
      <alignment vertical="center" wrapText="1"/>
    </xf>
    <xf numFmtId="0" fontId="9" fillId="3" borderId="12" xfId="0" applyFont="1" applyFill="1" applyBorder="1" applyAlignment="1">
      <alignment vertical="center" wrapText="1"/>
    </xf>
    <xf numFmtId="0" fontId="4" fillId="3" borderId="9" xfId="0" applyFont="1" applyFill="1" applyBorder="1" applyAlignment="1">
      <alignment vertical="center" wrapText="1"/>
    </xf>
    <xf numFmtId="0" fontId="4" fillId="3" borderId="10" xfId="0" applyFont="1" applyFill="1" applyBorder="1" applyAlignment="1">
      <alignment vertical="center" wrapText="1"/>
    </xf>
    <xf numFmtId="0" fontId="4" fillId="3" borderId="11" xfId="0" applyFont="1" applyFill="1" applyBorder="1" applyAlignment="1">
      <alignment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4" fillId="3" borderId="1" xfId="0" applyFont="1" applyFill="1" applyBorder="1" applyAlignment="1">
      <alignment vertical="center" wrapText="1"/>
    </xf>
    <xf numFmtId="0" fontId="4" fillId="2" borderId="1" xfId="0" applyFont="1" applyFill="1" applyBorder="1" applyAlignment="1">
      <alignment horizontal="left" vertical="center"/>
    </xf>
    <xf numFmtId="0" fontId="5" fillId="5"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5" borderId="9" xfId="0" applyFont="1" applyFill="1" applyBorder="1" applyAlignment="1">
      <alignment horizontal="center" vertical="center"/>
    </xf>
    <xf numFmtId="0" fontId="5" fillId="5" borderId="10" xfId="0" applyFont="1" applyFill="1" applyBorder="1" applyAlignment="1">
      <alignment horizontal="center" vertical="center"/>
    </xf>
    <xf numFmtId="0" fontId="5" fillId="5" borderId="1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2" borderId="1" xfId="0" applyFont="1" applyFill="1" applyBorder="1" applyAlignment="1">
      <alignment horizontal="justify" vertical="center" wrapText="1"/>
    </xf>
    <xf numFmtId="0" fontId="4" fillId="3" borderId="9"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11" xfId="0" applyFont="1" applyFill="1" applyBorder="1" applyAlignment="1">
      <alignment horizontal="left" vertical="center" wrapText="1"/>
    </xf>
    <xf numFmtId="4" fontId="4" fillId="3" borderId="15" xfId="0" applyNumberFormat="1" applyFont="1" applyFill="1" applyBorder="1" applyAlignment="1">
      <alignment horizontal="center" vertical="center"/>
    </xf>
    <xf numFmtId="4" fontId="4" fillId="3" borderId="17" xfId="0" applyNumberFormat="1" applyFont="1" applyFill="1" applyBorder="1" applyAlignment="1">
      <alignment horizontal="center" vertical="center"/>
    </xf>
    <xf numFmtId="4" fontId="4" fillId="3" borderId="16" xfId="0" applyNumberFormat="1" applyFont="1" applyFill="1" applyBorder="1" applyAlignment="1">
      <alignment horizontal="center" vertical="center"/>
    </xf>
    <xf numFmtId="0" fontId="5" fillId="3" borderId="1" xfId="0" applyFont="1" applyFill="1" applyBorder="1" applyAlignment="1">
      <alignment horizontal="center" vertical="center"/>
    </xf>
    <xf numFmtId="2" fontId="18" fillId="0" borderId="1" xfId="0" applyNumberFormat="1" applyFont="1" applyBorder="1" applyAlignment="1">
      <alignment horizontal="center" vertical="center"/>
    </xf>
    <xf numFmtId="0" fontId="4" fillId="2" borderId="9" xfId="0" applyFont="1" applyFill="1" applyBorder="1" applyAlignment="1">
      <alignment horizontal="justify" vertical="center" wrapText="1"/>
    </xf>
    <xf numFmtId="0" fontId="4" fillId="2" borderId="10" xfId="0" applyFont="1" applyFill="1" applyBorder="1" applyAlignment="1">
      <alignment horizontal="justify" vertical="center" wrapText="1"/>
    </xf>
    <xf numFmtId="0" fontId="4" fillId="2" borderId="11" xfId="0" applyFont="1" applyFill="1" applyBorder="1" applyAlignment="1">
      <alignment horizontal="justify" vertical="center" wrapText="1"/>
    </xf>
    <xf numFmtId="0" fontId="4" fillId="3" borderId="1" xfId="0" applyFont="1" applyFill="1" applyBorder="1" applyAlignment="1">
      <alignment horizontal="left" vertical="center"/>
    </xf>
    <xf numFmtId="0" fontId="5" fillId="3" borderId="1" xfId="0" applyFont="1" applyFill="1" applyBorder="1" applyAlignment="1">
      <alignment horizontal="center" vertical="center" wrapText="1"/>
    </xf>
    <xf numFmtId="0" fontId="4" fillId="3" borderId="1" xfId="0" applyFont="1" applyFill="1" applyBorder="1" applyAlignment="1">
      <alignment horizontal="justify" vertical="center" wrapText="1"/>
    </xf>
    <xf numFmtId="0" fontId="4" fillId="3" borderId="1" xfId="0" applyFont="1" applyFill="1" applyBorder="1" applyAlignment="1">
      <alignment horizontal="justify"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2" fontId="4" fillId="0" borderId="15" xfId="0" applyNumberFormat="1" applyFont="1" applyBorder="1" applyAlignment="1">
      <alignment horizontal="center" vertical="center"/>
    </xf>
    <xf numFmtId="2" fontId="4" fillId="0" borderId="17" xfId="0" applyNumberFormat="1" applyFont="1" applyBorder="1" applyAlignment="1">
      <alignment horizontal="center" vertical="center"/>
    </xf>
    <xf numFmtId="2" fontId="4" fillId="0" borderId="16" xfId="0" applyNumberFormat="1" applyFont="1" applyBorder="1" applyAlignment="1">
      <alignment horizontal="center" vertical="center"/>
    </xf>
    <xf numFmtId="0" fontId="4" fillId="3" borderId="4"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164" fontId="4" fillId="3" borderId="1" xfId="0" applyNumberFormat="1" applyFont="1" applyFill="1" applyBorder="1" applyAlignment="1">
      <alignment horizontal="center" vertical="center"/>
    </xf>
    <xf numFmtId="0" fontId="4" fillId="2" borderId="1" xfId="0" applyFont="1" applyFill="1" applyBorder="1" applyAlignment="1">
      <alignment horizontal="justify" vertical="center"/>
    </xf>
    <xf numFmtId="165" fontId="4" fillId="3" borderId="1" xfId="0" applyNumberFormat="1" applyFont="1" applyFill="1" applyBorder="1" applyAlignment="1">
      <alignment horizontal="center" vertical="center"/>
    </xf>
    <xf numFmtId="0" fontId="5" fillId="12" borderId="1" xfId="0" applyFont="1" applyFill="1" applyBorder="1" applyAlignment="1">
      <alignment horizontal="justify" vertical="center"/>
    </xf>
    <xf numFmtId="0" fontId="2" fillId="3" borderId="1" xfId="1" applyNumberFormat="1" applyFont="1" applyFill="1" applyBorder="1" applyAlignment="1">
      <alignment horizontal="center" vertical="center" wrapText="1"/>
    </xf>
    <xf numFmtId="0" fontId="3" fillId="12" borderId="1" xfId="0" applyFont="1" applyFill="1" applyBorder="1" applyAlignment="1">
      <alignment horizontal="center" vertical="center"/>
    </xf>
    <xf numFmtId="0" fontId="3" fillId="3" borderId="1" xfId="0" applyFont="1" applyFill="1" applyBorder="1" applyAlignment="1">
      <alignment horizontal="center" vertical="center" wrapText="1"/>
    </xf>
    <xf numFmtId="10" fontId="6" fillId="3" borderId="1" xfId="0" applyNumberFormat="1" applyFont="1" applyFill="1" applyBorder="1" applyAlignment="1">
      <alignment horizontal="center" vertical="center"/>
    </xf>
    <xf numFmtId="14" fontId="6" fillId="3" borderId="1" xfId="0" applyNumberFormat="1" applyFont="1" applyFill="1" applyBorder="1" applyAlignment="1">
      <alignment horizontal="center" vertical="center"/>
    </xf>
    <xf numFmtId="0" fontId="4" fillId="2" borderId="9" xfId="0" applyFont="1" applyFill="1" applyBorder="1" applyAlignment="1">
      <alignment horizontal="justify" vertical="center"/>
    </xf>
    <xf numFmtId="0" fontId="4" fillId="2" borderId="10" xfId="0" applyFont="1" applyFill="1" applyBorder="1" applyAlignment="1">
      <alignment horizontal="justify" vertical="center"/>
    </xf>
    <xf numFmtId="0" fontId="4" fillId="2" borderId="11" xfId="0" applyFont="1" applyFill="1" applyBorder="1" applyAlignment="1">
      <alignment horizontal="justify" vertical="center"/>
    </xf>
    <xf numFmtId="0" fontId="4" fillId="3" borderId="9" xfId="0" applyFont="1" applyFill="1" applyBorder="1" applyAlignment="1">
      <alignment horizontal="justify" vertical="center"/>
    </xf>
    <xf numFmtId="0" fontId="4" fillId="3" borderId="10" xfId="0" applyFont="1" applyFill="1" applyBorder="1" applyAlignment="1">
      <alignment horizontal="justify" vertical="center"/>
    </xf>
    <xf numFmtId="0" fontId="4" fillId="3" borderId="11" xfId="0" applyFont="1" applyFill="1" applyBorder="1" applyAlignment="1">
      <alignment horizontal="justify" vertical="center"/>
    </xf>
    <xf numFmtId="0" fontId="5" fillId="12" borderId="1" xfId="0" applyFont="1" applyFill="1" applyBorder="1" applyAlignment="1">
      <alignment horizontal="left" vertical="center"/>
    </xf>
    <xf numFmtId="2" fontId="18" fillId="0" borderId="15" xfId="0" applyNumberFormat="1" applyFont="1" applyBorder="1" applyAlignment="1">
      <alignment horizontal="center" vertical="center"/>
    </xf>
    <xf numFmtId="2" fontId="18" fillId="0" borderId="17" xfId="0" applyNumberFormat="1" applyFont="1" applyBorder="1" applyAlignment="1">
      <alignment horizontal="center" vertical="center"/>
    </xf>
    <xf numFmtId="2" fontId="18" fillId="0" borderId="16" xfId="0" applyNumberFormat="1" applyFont="1" applyBorder="1" applyAlignment="1">
      <alignment horizontal="center" vertical="center"/>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164" fontId="5" fillId="2" borderId="15" xfId="0" applyNumberFormat="1" applyFont="1" applyFill="1" applyBorder="1" applyAlignment="1">
      <alignment horizontal="center" vertical="center" wrapText="1"/>
    </xf>
    <xf numFmtId="164" fontId="5" fillId="2" borderId="16"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1" xfId="1" applyNumberFormat="1" applyFont="1" applyFill="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10" fontId="6"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4" fillId="5" borderId="9" xfId="0" applyFont="1" applyFill="1" applyBorder="1" applyAlignment="1">
      <alignment horizontal="left" vertical="center" wrapText="1"/>
    </xf>
    <xf numFmtId="0" fontId="4" fillId="5" borderId="10"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3" borderId="9" xfId="2" applyFont="1" applyFill="1" applyBorder="1" applyAlignment="1" applyProtection="1">
      <alignment horizontal="left"/>
    </xf>
    <xf numFmtId="0" fontId="4" fillId="3" borderId="10" xfId="2" applyFont="1" applyFill="1" applyBorder="1" applyAlignment="1" applyProtection="1">
      <alignment horizontal="left"/>
    </xf>
    <xf numFmtId="0" fontId="4" fillId="3" borderId="11" xfId="2" applyFont="1" applyFill="1" applyBorder="1" applyAlignment="1" applyProtection="1">
      <alignment horizontal="left"/>
    </xf>
    <xf numFmtId="49" fontId="0" fillId="8" borderId="1" xfId="2" applyNumberFormat="1" applyFont="1" applyFill="1" applyBorder="1" applyAlignment="1" applyProtection="1">
      <alignment horizontal="center" vertical="top" wrapText="1"/>
      <protection locked="0"/>
    </xf>
    <xf numFmtId="0" fontId="4" fillId="3" borderId="3" xfId="2" applyFont="1" applyFill="1" applyBorder="1" applyAlignment="1" applyProtection="1">
      <alignment horizontal="center" vertical="center"/>
    </xf>
    <xf numFmtId="0" fontId="4" fillId="3" borderId="0" xfId="2" applyFont="1" applyFill="1" applyBorder="1" applyAlignment="1" applyProtection="1">
      <alignment horizontal="center" vertical="center"/>
    </xf>
    <xf numFmtId="0" fontId="4" fillId="3" borderId="12" xfId="2" applyFont="1" applyFill="1" applyBorder="1" applyAlignment="1" applyProtection="1">
      <alignment horizontal="center" vertical="center"/>
    </xf>
    <xf numFmtId="0" fontId="4" fillId="3" borderId="6" xfId="2" applyFont="1" applyFill="1" applyBorder="1" applyAlignment="1" applyProtection="1">
      <alignment horizontal="center" vertical="center"/>
    </xf>
    <xf numFmtId="0" fontId="4" fillId="3" borderId="7" xfId="2" applyFont="1" applyFill="1" applyBorder="1" applyAlignment="1" applyProtection="1">
      <alignment horizontal="center" vertical="center"/>
    </xf>
    <xf numFmtId="0" fontId="4" fillId="3" borderId="8" xfId="2" applyFont="1" applyFill="1" applyBorder="1" applyAlignment="1" applyProtection="1">
      <alignment horizontal="center" vertical="center"/>
    </xf>
    <xf numFmtId="0" fontId="4" fillId="3" borderId="3"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13" fillId="3" borderId="1" xfId="2" applyFont="1" applyFill="1" applyBorder="1" applyAlignment="1" applyProtection="1">
      <alignment horizontal="center" vertical="center" wrapText="1"/>
    </xf>
    <xf numFmtId="0" fontId="4" fillId="3" borderId="9" xfId="2" applyFont="1" applyFill="1" applyBorder="1" applyAlignment="1" applyProtection="1">
      <alignment horizontal="center"/>
    </xf>
    <xf numFmtId="0" fontId="4" fillId="3" borderId="10" xfId="2" applyFont="1" applyFill="1" applyBorder="1" applyAlignment="1" applyProtection="1">
      <alignment horizontal="center"/>
    </xf>
    <xf numFmtId="0" fontId="4" fillId="3" borderId="11" xfId="2" applyFont="1" applyFill="1" applyBorder="1" applyAlignment="1" applyProtection="1">
      <alignment horizontal="center"/>
    </xf>
    <xf numFmtId="0" fontId="3" fillId="0" borderId="1"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5" fillId="0" borderId="1" xfId="2" applyFont="1" applyFill="1" applyBorder="1" applyAlignment="1" applyProtection="1">
      <alignment horizontal="left" vertical="center" wrapText="1"/>
    </xf>
    <xf numFmtId="0" fontId="0" fillId="0" borderId="1" xfId="2" applyFont="1" applyBorder="1" applyAlignment="1" applyProtection="1">
      <alignment horizontal="center" vertical="center" wrapText="1"/>
    </xf>
    <xf numFmtId="0" fontId="6" fillId="10" borderId="1" xfId="2" applyFont="1" applyFill="1" applyBorder="1" applyAlignment="1" applyProtection="1">
      <alignment horizontal="center" vertical="center" wrapText="1"/>
    </xf>
    <xf numFmtId="0" fontId="6" fillId="11" borderId="3" xfId="2" applyFont="1" applyFill="1" applyBorder="1" applyAlignment="1" applyProtection="1">
      <alignment horizontal="center" vertical="center" wrapText="1"/>
    </xf>
    <xf numFmtId="0" fontId="6" fillId="11" borderId="0" xfId="2" applyFont="1" applyFill="1" applyBorder="1" applyAlignment="1" applyProtection="1">
      <alignment horizontal="center" vertical="center" wrapText="1"/>
    </xf>
    <xf numFmtId="0" fontId="6" fillId="11" borderId="12" xfId="2" applyFont="1" applyFill="1" applyBorder="1" applyAlignment="1" applyProtection="1">
      <alignment horizontal="center" vertical="center" wrapText="1"/>
    </xf>
    <xf numFmtId="0" fontId="3" fillId="0" borderId="1" xfId="2" applyFont="1" applyBorder="1" applyAlignment="1" applyProtection="1">
      <alignment horizontal="center" vertical="center"/>
    </xf>
    <xf numFmtId="0" fontId="2" fillId="0" borderId="1" xfId="3"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2" applyFont="1" applyFill="1" applyBorder="1" applyAlignment="1" applyProtection="1">
      <alignment horizontal="justify" vertical="center" wrapText="1"/>
    </xf>
    <xf numFmtId="10" fontId="4" fillId="8" borderId="1" xfId="2" applyNumberFormat="1" applyFont="1" applyFill="1" applyBorder="1" applyAlignment="1" applyProtection="1">
      <alignment horizontal="center" vertical="center"/>
      <protection locked="0"/>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4" fillId="9" borderId="1" xfId="2" applyFont="1" applyFill="1" applyBorder="1" applyAlignment="1" applyProtection="1">
      <alignment horizontal="left" vertical="center" wrapText="1"/>
    </xf>
    <xf numFmtId="0" fontId="3" fillId="2" borderId="1" xfId="2" applyFont="1" applyFill="1" applyBorder="1" applyAlignment="1">
      <alignment horizontal="center" vertical="center" wrapText="1"/>
    </xf>
    <xf numFmtId="0" fontId="6" fillId="3" borderId="9"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11" xfId="0" applyFont="1" applyFill="1" applyBorder="1" applyAlignment="1">
      <alignment horizontal="center" vertical="center"/>
    </xf>
    <xf numFmtId="0" fontId="5" fillId="3" borderId="1" xfId="2" applyFont="1" applyFill="1" applyBorder="1" applyAlignment="1">
      <alignment horizontal="center" vertical="center"/>
    </xf>
    <xf numFmtId="0" fontId="5" fillId="3"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4" fillId="7" borderId="1" xfId="2" applyFill="1" applyBorder="1" applyAlignment="1">
      <alignment horizontal="center" vertical="center"/>
    </xf>
    <xf numFmtId="0" fontId="4" fillId="7" borderId="1" xfId="2" applyFill="1" applyBorder="1" applyAlignment="1">
      <alignment horizontal="left" vertical="center" wrapText="1"/>
    </xf>
  </cellXfs>
  <cellStyles count="10">
    <cellStyle name="Moeda" xfId="8" builtinId="4"/>
    <cellStyle name="Normal" xfId="0" builtinId="0"/>
    <cellStyle name="Normal 2" xfId="2"/>
    <cellStyle name="Normal 3" xfId="7"/>
    <cellStyle name="Porcentagem" xfId="4" builtinId="5"/>
    <cellStyle name="Vírgula" xfId="1" builtinId="3"/>
    <cellStyle name="Vírgula 2" xfId="3"/>
    <cellStyle name="Vírgula 2 2" xfId="9"/>
    <cellStyle name="Vírgula 2 3" xfId="5"/>
    <cellStyle name="Vírgula 3" xfId="6"/>
  </cellStyles>
  <dxfs count="3">
    <dxf>
      <font>
        <b/>
        <i val="0"/>
        <condense val="0"/>
        <extend val="0"/>
      </font>
    </dxf>
    <dxf>
      <font>
        <b/>
        <i val="0"/>
        <condense val="0"/>
        <extend val="0"/>
        <color indexed="9"/>
      </font>
      <fill>
        <patternFill patternType="none">
          <fgColor indexed="64"/>
          <bgColor indexed="65"/>
        </patternFill>
      </fill>
      <border>
        <left/>
        <right/>
        <top style="thin">
          <color indexed="64"/>
        </top>
        <bottom/>
      </border>
    </dxf>
    <dxf>
      <font>
        <b/>
        <i val="0"/>
        <condense val="0"/>
        <extend val="0"/>
        <color indexed="9"/>
      </font>
      <fill>
        <patternFill patternType="none">
          <fgColor indexed="64"/>
          <bgColor indexed="65"/>
        </patternFill>
      </fill>
      <border>
        <left/>
        <right/>
        <top style="thin">
          <color indexed="64"/>
        </top>
        <bottom/>
      </border>
    </dxf>
  </dxfs>
  <tableStyles count="0" defaultTableStyle="TableStyleMedium2" defaultPivotStyle="PivotStyleMedium9"/>
  <colors>
    <mruColors>
      <color rgb="FF00FFFF"/>
      <color rgb="FF00FF00"/>
      <color rgb="FF994C00"/>
      <color rgb="FF3F7F7F"/>
      <color rgb="FF7F66CC"/>
      <color rgb="FFFF7F9F"/>
      <color rgb="FF66FF66"/>
      <color rgb="FF0000FF"/>
      <color rgb="FFFF33CC"/>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28575</xdr:colOff>
      <xdr:row>0</xdr:row>
      <xdr:rowOff>57150</xdr:rowOff>
    </xdr:from>
    <xdr:to>
      <xdr:col>2</xdr:col>
      <xdr:colOff>561975</xdr:colOff>
      <xdr:row>2</xdr:row>
      <xdr:rowOff>161925</xdr:rowOff>
    </xdr:to>
    <xdr:pic>
      <xdr:nvPicPr>
        <xdr:cNvPr id="2" name="Imagem 2">
          <a:extLst>
            <a:ext uri="{FF2B5EF4-FFF2-40B4-BE49-F238E27FC236}">
              <a16:creationId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 y="5715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47625</xdr:rowOff>
    </xdr:from>
    <xdr:to>
      <xdr:col>7</xdr:col>
      <xdr:colOff>533400</xdr:colOff>
      <xdr:row>2</xdr:row>
      <xdr:rowOff>152400</xdr:rowOff>
    </xdr:to>
    <xdr:pic>
      <xdr:nvPicPr>
        <xdr:cNvPr id="3" name="Picture 56">
          <a:extLst>
            <a:ext uri="{FF2B5EF4-FFF2-40B4-BE49-F238E27FC236}">
              <a16:creationId xmlns:a16="http://schemas.microsoft.com/office/drawing/2014/main" id="{00000000-0008-0000-0000-000003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582400" y="47625"/>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962025</xdr:colOff>
      <xdr:row>0</xdr:row>
      <xdr:rowOff>76199</xdr:rowOff>
    </xdr:from>
    <xdr:to>
      <xdr:col>8</xdr:col>
      <xdr:colOff>513750</xdr:colOff>
      <xdr:row>2</xdr:row>
      <xdr:rowOff>143099</xdr:rowOff>
    </xdr:to>
    <xdr:pic>
      <xdr:nvPicPr>
        <xdr:cNvPr id="2" name="Picture 56">
          <a:extLst>
            <a:ext uri="{FF2B5EF4-FFF2-40B4-BE49-F238E27FC236}">
              <a16:creationId xmlns:a16="http://schemas.microsoft.com/office/drawing/2014/main" id="{00000000-0008-0000-0100-000002000000}"/>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8953500" y="76199"/>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466725</xdr:colOff>
      <xdr:row>0</xdr:row>
      <xdr:rowOff>76200</xdr:rowOff>
    </xdr:from>
    <xdr:to>
      <xdr:col>1</xdr:col>
      <xdr:colOff>999525</xdr:colOff>
      <xdr:row>2</xdr:row>
      <xdr:rowOff>143100</xdr:rowOff>
    </xdr:to>
    <xdr:pic>
      <xdr:nvPicPr>
        <xdr:cNvPr id="3" name="Imagem 2">
          <a:extLst>
            <a:ext uri="{FF2B5EF4-FFF2-40B4-BE49-F238E27FC236}">
              <a16:creationId xmlns:a16="http://schemas.microsoft.com/office/drawing/2014/main" id="{00000000-0008-0000-0100-000003000000}"/>
            </a:ext>
          </a:extLst>
        </xdr:cNvPr>
        <xdr:cNvPicPr preferRelativeResize="0">
          <a:picLocks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1447800" y="76200"/>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371475</xdr:colOff>
      <xdr:row>0</xdr:row>
      <xdr:rowOff>76200</xdr:rowOff>
    </xdr:from>
    <xdr:to>
      <xdr:col>1</xdr:col>
      <xdr:colOff>904875</xdr:colOff>
      <xdr:row>2</xdr:row>
      <xdr:rowOff>142875</xdr:rowOff>
    </xdr:to>
    <xdr:pic>
      <xdr:nvPicPr>
        <xdr:cNvPr id="4" name="Imagem 2">
          <a:extLst>
            <a:ext uri="{FF2B5EF4-FFF2-40B4-BE49-F238E27FC236}">
              <a16:creationId xmlns:a16="http://schemas.microsoft.com/office/drawing/2014/main" id="{00000000-0008-0000-02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552450</xdr:colOff>
      <xdr:row>0</xdr:row>
      <xdr:rowOff>123825</xdr:rowOff>
    </xdr:from>
    <xdr:to>
      <xdr:col>7</xdr:col>
      <xdr:colOff>266700</xdr:colOff>
      <xdr:row>2</xdr:row>
      <xdr:rowOff>190500</xdr:rowOff>
    </xdr:to>
    <xdr:pic>
      <xdr:nvPicPr>
        <xdr:cNvPr id="5" name="Picture 56">
          <a:extLst>
            <a:ext uri="{FF2B5EF4-FFF2-40B4-BE49-F238E27FC236}">
              <a16:creationId xmlns:a16="http://schemas.microsoft.com/office/drawing/2014/main" id="{00000000-0008-0000-0200-000005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172825" y="123825"/>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0</xdr:row>
      <xdr:rowOff>85725</xdr:rowOff>
    </xdr:from>
    <xdr:to>
      <xdr:col>1</xdr:col>
      <xdr:colOff>1133475</xdr:colOff>
      <xdr:row>2</xdr:row>
      <xdr:rowOff>190500</xdr:rowOff>
    </xdr:to>
    <xdr:pic>
      <xdr:nvPicPr>
        <xdr:cNvPr id="2" name="Imagem 2">
          <a:extLst>
            <a:ext uri="{FF2B5EF4-FFF2-40B4-BE49-F238E27FC236}">
              <a16:creationId xmlns:a16="http://schemas.microsoft.com/office/drawing/2014/main" id="{00000000-0008-0000-02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9675" y="85725"/>
          <a:ext cx="5334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190500</xdr:colOff>
      <xdr:row>0</xdr:row>
      <xdr:rowOff>66675</xdr:rowOff>
    </xdr:from>
    <xdr:to>
      <xdr:col>7</xdr:col>
      <xdr:colOff>723900</xdr:colOff>
      <xdr:row>2</xdr:row>
      <xdr:rowOff>190500</xdr:rowOff>
    </xdr:to>
    <xdr:pic>
      <xdr:nvPicPr>
        <xdr:cNvPr id="3" name="Picture 56">
          <a:extLst>
            <a:ext uri="{FF2B5EF4-FFF2-40B4-BE49-F238E27FC236}">
              <a16:creationId xmlns:a16="http://schemas.microsoft.com/office/drawing/2014/main" id="{00000000-0008-0000-0200-000005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411075" y="66675"/>
          <a:ext cx="5334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4" name="CaixaDeTexto 3">
              <a:extLst>
                <a:ext uri="{FF2B5EF4-FFF2-40B4-BE49-F238E27FC236}">
                  <a16:creationId xmlns:a16="http://schemas.microsoft.com/office/drawing/2014/main" id="{00000000-0008-0000-0300-000004000000}"/>
                </a:ext>
              </a:extLst>
            </xdr:cNvPr>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4" name="CaixaDeTexto 3"/>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5" name="CaixaDeTexto 4">
              <a:extLst>
                <a:ext uri="{FF2B5EF4-FFF2-40B4-BE49-F238E27FC236}">
                  <a16:creationId xmlns:a16="http://schemas.microsoft.com/office/drawing/2014/main" id="{00000000-0008-0000-0300-000004000000}"/>
                </a:ext>
              </a:extLst>
            </xdr:cNvPr>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5" name="CaixaDeTexto 4">
              <a:extLst>
                <a:ext uri="{FF2B5EF4-FFF2-40B4-BE49-F238E27FC236}">
                  <a16:creationId xmlns:a16="http://schemas.microsoft.com/office/drawing/2014/main" id="{00000000-0008-0000-0300-000004000000}"/>
                </a:ext>
              </a:extLst>
            </xdr:cNvPr>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6" name="CaixaDeTexto 5">
              <a:extLst>
                <a:ext uri="{FF2B5EF4-FFF2-40B4-BE49-F238E27FC236}">
                  <a16:creationId xmlns:a16="http://schemas.microsoft.com/office/drawing/2014/main" id="{00000000-0008-0000-0300-000004000000}"/>
                </a:ext>
              </a:extLst>
            </xdr:cNvPr>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6" name="CaixaDeTexto 5">
              <a:extLst>
                <a:ext uri="{FF2B5EF4-FFF2-40B4-BE49-F238E27FC236}">
                  <a16:creationId xmlns:a16="http://schemas.microsoft.com/office/drawing/2014/main" id="{00000000-0008-0000-0300-000004000000}"/>
                </a:ext>
              </a:extLst>
            </xdr:cNvPr>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7" name="CaixaDeTexto 6"/>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7" name="CaixaDeTexto 6"/>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8" name="CaixaDeTexto 7">
              <a:extLst>
                <a:ext uri="{FF2B5EF4-FFF2-40B4-BE49-F238E27FC236}">
                  <a16:creationId xmlns:a16="http://schemas.microsoft.com/office/drawing/2014/main" id="{00000000-0008-0000-0300-000004000000}"/>
                </a:ext>
              </a:extLst>
            </xdr:cNvPr>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8" name="CaixaDeTexto 7">
              <a:extLst>
                <a:ext uri="{FF2B5EF4-FFF2-40B4-BE49-F238E27FC236}">
                  <a16:creationId xmlns:a16="http://schemas.microsoft.com/office/drawing/2014/main" id="{00000000-0008-0000-0300-000004000000}"/>
                </a:ext>
              </a:extLst>
            </xdr:cNvPr>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twoCellAnchor editAs="oneCell">
    <xdr:from>
      <xdr:col>7</xdr:col>
      <xdr:colOff>962025</xdr:colOff>
      <xdr:row>0</xdr:row>
      <xdr:rowOff>76200</xdr:rowOff>
    </xdr:from>
    <xdr:to>
      <xdr:col>8</xdr:col>
      <xdr:colOff>533400</xdr:colOff>
      <xdr:row>2</xdr:row>
      <xdr:rowOff>142875</xdr:rowOff>
    </xdr:to>
    <xdr:pic>
      <xdr:nvPicPr>
        <xdr:cNvPr id="9" name="Picture 56"/>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0150" y="76200"/>
          <a:ext cx="55245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466725</xdr:colOff>
      <xdr:row>0</xdr:row>
      <xdr:rowOff>76200</xdr:rowOff>
    </xdr:from>
    <xdr:to>
      <xdr:col>1</xdr:col>
      <xdr:colOff>1000125</xdr:colOff>
      <xdr:row>2</xdr:row>
      <xdr:rowOff>142875</xdr:rowOff>
    </xdr:to>
    <xdr:pic>
      <xdr:nvPicPr>
        <xdr:cNvPr id="10" name="Imagem 4"/>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1445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12" name="CaixaDeTexto 11">
              <a:extLst>
                <a:ext uri="{FF2B5EF4-FFF2-40B4-BE49-F238E27FC236}">
                  <a16:creationId xmlns:a16="http://schemas.microsoft.com/office/drawing/2014/main" id="{00000000-0008-0000-0300-000004000000}"/>
                </a:ext>
              </a:extLst>
            </xdr:cNvPr>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12" name="CaixaDeTexto 11">
              <a:extLst>
                <a:ext uri="{FF2B5EF4-FFF2-40B4-BE49-F238E27FC236}">
                  <a16:creationId xmlns:a16="http://schemas.microsoft.com/office/drawing/2014/main" id="{00000000-0008-0000-0300-000004000000}"/>
                </a:ext>
              </a:extLst>
            </xdr:cNvPr>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13" name="CaixaDeTexto 12">
              <a:extLst>
                <a:ext uri="{FF2B5EF4-FFF2-40B4-BE49-F238E27FC236}">
                  <a16:creationId xmlns:a16="http://schemas.microsoft.com/office/drawing/2014/main" id="{00000000-0008-0000-0300-000004000000}"/>
                </a:ext>
              </a:extLst>
            </xdr:cNvPr>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13" name="CaixaDeTexto 12">
              <a:extLst>
                <a:ext uri="{FF2B5EF4-FFF2-40B4-BE49-F238E27FC236}">
                  <a16:creationId xmlns:a16="http://schemas.microsoft.com/office/drawing/2014/main" id="{00000000-0008-0000-0300-000004000000}"/>
                </a:ext>
              </a:extLst>
            </xdr:cNvPr>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14" name="CaixaDeTexto 13">
              <a:extLst>
                <a:ext uri="{FF2B5EF4-FFF2-40B4-BE49-F238E27FC236}">
                  <a16:creationId xmlns:a16="http://schemas.microsoft.com/office/drawing/2014/main" id="{00000000-0008-0000-0300-000004000000}"/>
                </a:ext>
              </a:extLst>
            </xdr:cNvPr>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14" name="CaixaDeTexto 13">
              <a:extLst>
                <a:ext uri="{FF2B5EF4-FFF2-40B4-BE49-F238E27FC236}">
                  <a16:creationId xmlns:a16="http://schemas.microsoft.com/office/drawing/2014/main" id="{00000000-0008-0000-0300-000004000000}"/>
                </a:ext>
              </a:extLst>
            </xdr:cNvPr>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15" name="CaixaDeTexto 14"/>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15" name="CaixaDeTexto 14"/>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16" name="CaixaDeTexto 15">
              <a:extLst>
                <a:ext uri="{FF2B5EF4-FFF2-40B4-BE49-F238E27FC236}">
                  <a16:creationId xmlns:a16="http://schemas.microsoft.com/office/drawing/2014/main" id="{00000000-0008-0000-0300-000004000000}"/>
                </a:ext>
              </a:extLst>
            </xdr:cNvPr>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16" name="CaixaDeTexto 15">
              <a:extLst>
                <a:ext uri="{FF2B5EF4-FFF2-40B4-BE49-F238E27FC236}">
                  <a16:creationId xmlns:a16="http://schemas.microsoft.com/office/drawing/2014/main" id="{00000000-0008-0000-0300-000004000000}"/>
                </a:ext>
              </a:extLst>
            </xdr:cNvPr>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twoCellAnchor editAs="oneCell">
    <xdr:from>
      <xdr:col>7</xdr:col>
      <xdr:colOff>962025</xdr:colOff>
      <xdr:row>0</xdr:row>
      <xdr:rowOff>76200</xdr:rowOff>
    </xdr:from>
    <xdr:to>
      <xdr:col>8</xdr:col>
      <xdr:colOff>533400</xdr:colOff>
      <xdr:row>2</xdr:row>
      <xdr:rowOff>142875</xdr:rowOff>
    </xdr:to>
    <xdr:pic>
      <xdr:nvPicPr>
        <xdr:cNvPr id="17" name="Picture 56"/>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0" y="76200"/>
          <a:ext cx="55245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466725</xdr:colOff>
      <xdr:row>0</xdr:row>
      <xdr:rowOff>76200</xdr:rowOff>
    </xdr:from>
    <xdr:to>
      <xdr:col>1</xdr:col>
      <xdr:colOff>1000125</xdr:colOff>
      <xdr:row>2</xdr:row>
      <xdr:rowOff>142875</xdr:rowOff>
    </xdr:to>
    <xdr:pic>
      <xdr:nvPicPr>
        <xdr:cNvPr id="18" name="Imagem 4"/>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780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19" name="CaixaDeTexto 18"/>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19" name="CaixaDeTexto 18"/>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819150</xdr:colOff>
      <xdr:row>0</xdr:row>
      <xdr:rowOff>76200</xdr:rowOff>
    </xdr:from>
    <xdr:to>
      <xdr:col>1</xdr:col>
      <xdr:colOff>1352550</xdr:colOff>
      <xdr:row>2</xdr:row>
      <xdr:rowOff>142875</xdr:rowOff>
    </xdr:to>
    <xdr:pic>
      <xdr:nvPicPr>
        <xdr:cNvPr id="4" name="Imagem 2">
          <a:extLst>
            <a:ext uri="{FF2B5EF4-FFF2-40B4-BE49-F238E27FC236}">
              <a16:creationId xmlns:a16="http://schemas.microsoft.com/office/drawing/2014/main" id="{00000000-0008-0000-04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333375</xdr:colOff>
      <xdr:row>0</xdr:row>
      <xdr:rowOff>66675</xdr:rowOff>
    </xdr:from>
    <xdr:to>
      <xdr:col>14</xdr:col>
      <xdr:colOff>85725</xdr:colOff>
      <xdr:row>2</xdr:row>
      <xdr:rowOff>133350</xdr:rowOff>
    </xdr:to>
    <xdr:pic>
      <xdr:nvPicPr>
        <xdr:cNvPr id="5" name="Picture 56">
          <a:extLst>
            <a:ext uri="{FF2B5EF4-FFF2-40B4-BE49-F238E27FC236}">
              <a16:creationId xmlns:a16="http://schemas.microsoft.com/office/drawing/2014/main" id="{00000000-0008-0000-0400-000005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096625" y="66675"/>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RAS/&#8226;%20VIGENTES/INDIRETA/ATA%20-%20PINTURA%20DE%20BENS%20PUBLICOS%202022/02%20-%20PLANILHA%20OR&#199;AMENT&#193;RIA/Planilha%20Or&#231;amentaria/C&#225;lculo%20do%20BDI%20-%20Pintur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BRAS/&#8226;%20VIGENTES/INDIRETA/PAV.%20-%20RUA%20ITABIRA/02%20-%20PLANILHA%20OR&#199;AMENT&#193;RIA/Planilha%20Or&#231;ament&#225;ria%20-%20Pavimenta&#231;&#227;o%20Rua%20Itabira%20-%20Rev.13%20J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OBRAS/&#8226;%20EM%20AN&#193;LISE/2022/ELABORA&#199;&#195;O%20-%20PAVIMENTA&#199;&#195;O%20RUA%20PROJETADA%2030%20PEDRA%20FURADA/02%20-%20PLANILHA%20OR&#199;AMENT&#193;RIA/PLANILHA%20OR&#199;AMENT&#193;RIA%20-%20PAV%20RUA%20PROJETADA%2030%20-%20REV.09%20J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DADOS"/>
      <sheetName val="NOVO"/>
      <sheetName val="BDI"/>
      <sheetName val="ORÇAMENTO"/>
      <sheetName val="CÁLCULO"/>
      <sheetName val="EVENTOS"/>
      <sheetName val="CRONO"/>
      <sheetName val="CRONOPLE"/>
      <sheetName val="PLE"/>
      <sheetName val="QCI"/>
      <sheetName val="BM"/>
      <sheetName val="RRE"/>
      <sheetName val="OFÍCI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orçamentária"/>
      <sheetName val="Memória de cálculo"/>
      <sheetName val="Composição"/>
      <sheetName val="Memória de cálculo - Composição"/>
      <sheetName val="BDI"/>
      <sheetName val="Cronograma"/>
    </sheetNames>
    <sheetDataSet>
      <sheetData sheetId="0">
        <row r="47">
          <cell r="F47" t="str">
            <v>UN</v>
          </cell>
        </row>
      </sheetData>
      <sheetData sheetId="1"/>
      <sheetData sheetId="2">
        <row r="21">
          <cell r="F21" t="str">
            <v>M3</v>
          </cell>
        </row>
        <row r="22">
          <cell r="F22" t="str">
            <v>M2</v>
          </cell>
        </row>
        <row r="24">
          <cell r="F24" t="str">
            <v>M2</v>
          </cell>
        </row>
        <row r="25">
          <cell r="F25" t="str">
            <v>KG</v>
          </cell>
        </row>
        <row r="26">
          <cell r="F26" t="str">
            <v>M3</v>
          </cell>
        </row>
        <row r="56">
          <cell r="F56" t="str">
            <v>Unidade</v>
          </cell>
        </row>
        <row r="57">
          <cell r="F57" t="str">
            <v>M3</v>
          </cell>
        </row>
        <row r="59">
          <cell r="F59" t="str">
            <v>H</v>
          </cell>
        </row>
        <row r="60">
          <cell r="F60" t="str">
            <v>H</v>
          </cell>
        </row>
      </sheetData>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orçamentária-Evento"/>
      <sheetName val="Memória de cálculo"/>
      <sheetName val="Composição"/>
      <sheetName val="BDI"/>
      <sheetName val="Cronograma"/>
    </sheetNames>
    <sheetDataSet>
      <sheetData sheetId="0">
        <row r="4">
          <cell r="A4" t="str">
            <v>OBRA POR EXECUÇÃO INDIRETA</v>
          </cell>
        </row>
        <row r="5">
          <cell r="A5" t="str">
            <v>Setor requisitante: Secretaria Municipal de Obras e Serviços Urbanos</v>
          </cell>
        </row>
        <row r="6">
          <cell r="A6" t="str">
            <v>Objeto:</v>
          </cell>
        </row>
      </sheetData>
      <sheetData sheetId="1"/>
      <sheetData sheetId="2"/>
      <sheetData sheetId="3"/>
      <sheetData sheetId="4"/>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8"/>
  <sheetViews>
    <sheetView tabSelected="1" view="pageBreakPreview" zoomScaleNormal="100" zoomScaleSheetLayoutView="100" workbookViewId="0">
      <selection activeCell="D18" sqref="D18"/>
    </sheetView>
  </sheetViews>
  <sheetFormatPr defaultRowHeight="16.5" customHeight="1" x14ac:dyDescent="0.25"/>
  <cols>
    <col min="1" max="1" width="7.85546875" style="13" customWidth="1"/>
    <col min="2" max="3" width="12.7109375" style="12" customWidth="1"/>
    <col min="4" max="4" width="100" style="12" customWidth="1"/>
    <col min="5" max="6" width="12.7109375" style="12" customWidth="1"/>
    <col min="7" max="8" width="15" style="12" customWidth="1"/>
    <col min="9" max="9" width="17.5703125" style="12" customWidth="1"/>
    <col min="10" max="16" width="15" style="12" customWidth="1"/>
    <col min="17" max="16384" width="9.140625" style="12"/>
  </cols>
  <sheetData>
    <row r="1" spans="1:17" s="1" customFormat="1" ht="16.5" customHeight="1" x14ac:dyDescent="0.25">
      <c r="A1" s="127" t="s">
        <v>25</v>
      </c>
      <c r="B1" s="127"/>
      <c r="C1" s="127"/>
      <c r="D1" s="127"/>
      <c r="E1" s="127"/>
      <c r="F1" s="127"/>
      <c r="G1" s="127"/>
      <c r="H1" s="127"/>
      <c r="I1" s="127"/>
      <c r="K1" s="7"/>
      <c r="Q1" s="13">
        <v>1</v>
      </c>
    </row>
    <row r="2" spans="1:17" s="1" customFormat="1" ht="13.5" customHeight="1" x14ac:dyDescent="0.25">
      <c r="A2" s="127"/>
      <c r="B2" s="127"/>
      <c r="C2" s="127"/>
      <c r="D2" s="127"/>
      <c r="E2" s="127"/>
      <c r="F2" s="127"/>
      <c r="G2" s="127"/>
      <c r="H2" s="127"/>
      <c r="I2" s="127"/>
      <c r="K2" s="7"/>
      <c r="Q2" s="13">
        <v>2</v>
      </c>
    </row>
    <row r="3" spans="1:17" s="1" customFormat="1" ht="14.25" customHeight="1" x14ac:dyDescent="0.25">
      <c r="A3" s="127"/>
      <c r="B3" s="127"/>
      <c r="C3" s="127"/>
      <c r="D3" s="127"/>
      <c r="E3" s="127"/>
      <c r="F3" s="127"/>
      <c r="G3" s="127"/>
      <c r="H3" s="127"/>
      <c r="I3" s="127"/>
      <c r="K3" s="7"/>
      <c r="Q3" s="13">
        <v>3</v>
      </c>
    </row>
    <row r="4" spans="1:17" s="1" customFormat="1" ht="16.5" customHeight="1" x14ac:dyDescent="0.25">
      <c r="A4" s="125" t="s">
        <v>0</v>
      </c>
      <c r="B4" s="125"/>
      <c r="C4" s="125"/>
      <c r="D4" s="125"/>
      <c r="E4" s="125"/>
      <c r="F4" s="125"/>
      <c r="G4" s="125"/>
      <c r="H4" s="125"/>
      <c r="I4" s="125"/>
      <c r="K4" s="7"/>
      <c r="Q4" s="13">
        <v>4</v>
      </c>
    </row>
    <row r="5" spans="1:17" s="1" customFormat="1" ht="16.5" customHeight="1" x14ac:dyDescent="0.25">
      <c r="A5" s="128" t="s">
        <v>272</v>
      </c>
      <c r="B5" s="128"/>
      <c r="C5" s="128"/>
      <c r="D5" s="128"/>
      <c r="E5" s="128"/>
      <c r="F5" s="128"/>
      <c r="G5" s="128"/>
      <c r="H5" s="128"/>
      <c r="I5" s="128"/>
      <c r="K5" s="7"/>
      <c r="Q5" s="13">
        <v>5</v>
      </c>
    </row>
    <row r="6" spans="1:17" s="1" customFormat="1" ht="16.5" customHeight="1" x14ac:dyDescent="0.25">
      <c r="A6" s="129" t="s">
        <v>1</v>
      </c>
      <c r="B6" s="129"/>
      <c r="C6" s="133" t="s">
        <v>271</v>
      </c>
      <c r="D6" s="134"/>
      <c r="E6" s="134"/>
      <c r="F6" s="135"/>
      <c r="G6" s="130" t="s">
        <v>2</v>
      </c>
      <c r="H6" s="131">
        <f>BDI!J28</f>
        <v>0.30380000000000001</v>
      </c>
      <c r="I6" s="132">
        <f ca="1">TODAY()</f>
        <v>44887</v>
      </c>
      <c r="K6" s="7"/>
      <c r="Q6" s="13">
        <v>6</v>
      </c>
    </row>
    <row r="7" spans="1:17" s="1" customFormat="1" ht="16.5" customHeight="1" x14ac:dyDescent="0.25">
      <c r="A7" s="129"/>
      <c r="B7" s="129"/>
      <c r="C7" s="136"/>
      <c r="D7" s="137"/>
      <c r="E7" s="137"/>
      <c r="F7" s="138"/>
      <c r="G7" s="130"/>
      <c r="H7" s="131"/>
      <c r="I7" s="132"/>
      <c r="J7" s="4"/>
      <c r="K7" s="7"/>
      <c r="Q7" s="13">
        <v>7</v>
      </c>
    </row>
    <row r="8" spans="1:17" s="1" customFormat="1" ht="16.5" customHeight="1" x14ac:dyDescent="0.25">
      <c r="A8" s="125" t="s">
        <v>3</v>
      </c>
      <c r="B8" s="125"/>
      <c r="C8" s="125"/>
      <c r="D8" s="125"/>
      <c r="E8" s="125"/>
      <c r="F8" s="125"/>
      <c r="G8" s="125"/>
      <c r="H8" s="125"/>
      <c r="I8" s="125"/>
      <c r="K8" s="7"/>
      <c r="Q8" s="13">
        <v>8</v>
      </c>
    </row>
    <row r="9" spans="1:17" s="1" customFormat="1" ht="25.5" customHeight="1" x14ac:dyDescent="0.25">
      <c r="A9" s="10" t="s">
        <v>4</v>
      </c>
      <c r="B9" s="11" t="s">
        <v>5</v>
      </c>
      <c r="C9" s="11" t="s">
        <v>71</v>
      </c>
      <c r="D9" s="10" t="s">
        <v>6</v>
      </c>
      <c r="E9" s="2" t="s">
        <v>7</v>
      </c>
      <c r="F9" s="10" t="s">
        <v>20</v>
      </c>
      <c r="G9" s="3" t="s">
        <v>8</v>
      </c>
      <c r="H9" s="3" t="s">
        <v>9</v>
      </c>
      <c r="I9" s="6" t="s">
        <v>10</v>
      </c>
      <c r="K9" s="7"/>
      <c r="Q9" s="13">
        <v>9</v>
      </c>
    </row>
    <row r="10" spans="1:17" s="1" customFormat="1" ht="16.5" customHeight="1" x14ac:dyDescent="0.25">
      <c r="A10" s="47">
        <v>1</v>
      </c>
      <c r="B10" s="47" t="s">
        <v>72</v>
      </c>
      <c r="C10" s="47" t="s">
        <v>72</v>
      </c>
      <c r="D10" s="126" t="s">
        <v>33</v>
      </c>
      <c r="E10" s="126"/>
      <c r="F10" s="126"/>
      <c r="G10" s="126"/>
      <c r="H10" s="126"/>
      <c r="I10" s="126"/>
      <c r="K10" s="7"/>
      <c r="Q10" s="13">
        <v>11</v>
      </c>
    </row>
    <row r="11" spans="1:17" s="1" customFormat="1" ht="25.5" customHeight="1" x14ac:dyDescent="0.25">
      <c r="A11" s="15" t="str">
        <f>$A$10&amp;"."&amp;Q1</f>
        <v>1.1</v>
      </c>
      <c r="B11" s="66" t="s">
        <v>162</v>
      </c>
      <c r="C11" s="30" t="s">
        <v>172</v>
      </c>
      <c r="D11" s="26" t="s">
        <v>163</v>
      </c>
      <c r="E11" s="39">
        <f>'Mem. Cálc. - P.O'!J18</f>
        <v>1</v>
      </c>
      <c r="F11" s="8" t="s">
        <v>34</v>
      </c>
      <c r="G11" s="27">
        <f>'Mem. Cálc. - P.O'!H13</f>
        <v>1907.5</v>
      </c>
      <c r="H11" s="27">
        <f>G11+G11*H6</f>
        <v>2487</v>
      </c>
      <c r="I11" s="27">
        <f>E11*H11</f>
        <v>2487</v>
      </c>
      <c r="K11" s="44">
        <f>G11*0.7</f>
        <v>1335.25</v>
      </c>
      <c r="Q11" s="13">
        <v>12</v>
      </c>
    </row>
    <row r="12" spans="1:17" s="1" customFormat="1" ht="16.5" customHeight="1" x14ac:dyDescent="0.25">
      <c r="A12" s="124" t="str">
        <f>"TOTAL (Item "&amp;A10&amp;"):"</f>
        <v>TOTAL (Item 1):</v>
      </c>
      <c r="B12" s="124"/>
      <c r="C12" s="124"/>
      <c r="D12" s="124"/>
      <c r="E12" s="124"/>
      <c r="F12" s="124"/>
      <c r="G12" s="124"/>
      <c r="H12" s="124"/>
      <c r="I12" s="49">
        <f>SUM(I11:I11)</f>
        <v>2487</v>
      </c>
      <c r="K12" s="44"/>
      <c r="L12" s="45"/>
      <c r="Q12" s="13">
        <v>13</v>
      </c>
    </row>
    <row r="13" spans="1:17" s="1" customFormat="1" ht="16.5" customHeight="1" x14ac:dyDescent="0.25">
      <c r="A13" s="47">
        <v>2</v>
      </c>
      <c r="B13" s="47" t="s">
        <v>72</v>
      </c>
      <c r="C13" s="47" t="s">
        <v>72</v>
      </c>
      <c r="D13" s="126" t="s">
        <v>35</v>
      </c>
      <c r="E13" s="126"/>
      <c r="F13" s="126"/>
      <c r="G13" s="126"/>
      <c r="H13" s="126"/>
      <c r="I13" s="126"/>
      <c r="K13" s="44"/>
      <c r="L13" s="45"/>
      <c r="Q13" s="13">
        <v>14</v>
      </c>
    </row>
    <row r="14" spans="1:17" s="1" customFormat="1" ht="36" customHeight="1" x14ac:dyDescent="0.25">
      <c r="A14" s="15" t="str">
        <f>$A$13&amp;"."&amp;Q1</f>
        <v>2.1</v>
      </c>
      <c r="B14" s="66" t="s">
        <v>164</v>
      </c>
      <c r="C14" s="30" t="s">
        <v>172</v>
      </c>
      <c r="D14" s="26" t="s">
        <v>160</v>
      </c>
      <c r="E14" s="39">
        <f>'Mem. Cálc. - P.O'!J23</f>
        <v>1</v>
      </c>
      <c r="F14" s="8" t="s">
        <v>29</v>
      </c>
      <c r="G14" s="27">
        <v>1224.69</v>
      </c>
      <c r="H14" s="27">
        <f>(G14+(G14*$H$6))</f>
        <v>1596.75</v>
      </c>
      <c r="I14" s="27">
        <f t="shared" ref="I14:I18" si="0">E14*H14</f>
        <v>1596.75</v>
      </c>
      <c r="K14" s="44"/>
      <c r="Q14" s="13">
        <v>15</v>
      </c>
    </row>
    <row r="15" spans="1:17" s="1" customFormat="1" ht="25.5" customHeight="1" x14ac:dyDescent="0.25">
      <c r="A15" s="15" t="str">
        <f>$A$13&amp;"."&amp;Q2</f>
        <v>2.2</v>
      </c>
      <c r="B15" s="66" t="s">
        <v>165</v>
      </c>
      <c r="C15" s="30" t="s">
        <v>172</v>
      </c>
      <c r="D15" s="26" t="s">
        <v>138</v>
      </c>
      <c r="E15" s="39">
        <f>'Mem. Cálc. - P.O'!J27</f>
        <v>3</v>
      </c>
      <c r="F15" s="8" t="s">
        <v>66</v>
      </c>
      <c r="G15" s="27">
        <v>800</v>
      </c>
      <c r="H15" s="27">
        <f t="shared" ref="H15:H18" si="1">(G15+(G15*$H$6))</f>
        <v>1043.04</v>
      </c>
      <c r="I15" s="27">
        <f t="shared" si="0"/>
        <v>3129.12</v>
      </c>
      <c r="K15" s="7"/>
      <c r="N15" s="1">
        <f>L15*M15</f>
        <v>0</v>
      </c>
      <c r="Q15" s="13"/>
    </row>
    <row r="16" spans="1:17" s="1" customFormat="1" ht="38.25" customHeight="1" x14ac:dyDescent="0.25">
      <c r="A16" s="15" t="str">
        <f>$A$13&amp;"."&amp;Q3</f>
        <v>2.3</v>
      </c>
      <c r="B16" s="66" t="s">
        <v>65</v>
      </c>
      <c r="C16" s="30" t="s">
        <v>172</v>
      </c>
      <c r="D16" s="26" t="s">
        <v>139</v>
      </c>
      <c r="E16" s="39">
        <f>'Mem. Cálc. - P.O'!J31</f>
        <v>3</v>
      </c>
      <c r="F16" s="8" t="s">
        <v>66</v>
      </c>
      <c r="G16" s="27">
        <v>681.13</v>
      </c>
      <c r="H16" s="27">
        <f t="shared" si="1"/>
        <v>888.06</v>
      </c>
      <c r="I16" s="27">
        <f t="shared" si="0"/>
        <v>2664.18</v>
      </c>
      <c r="K16" s="7">
        <f>384205</f>
        <v>384205</v>
      </c>
      <c r="L16" s="1">
        <f>K16*0.0085</f>
        <v>3265.7424999999998</v>
      </c>
      <c r="N16" s="1">
        <f>L16*M16</f>
        <v>0</v>
      </c>
      <c r="Q16" s="13"/>
    </row>
    <row r="17" spans="1:17" s="1" customFormat="1" ht="25.5" customHeight="1" x14ac:dyDescent="0.25">
      <c r="A17" s="15" t="str">
        <f>$A$13&amp;"."&amp;Q4</f>
        <v>2.4</v>
      </c>
      <c r="B17" s="66" t="s">
        <v>73</v>
      </c>
      <c r="C17" s="30" t="s">
        <v>172</v>
      </c>
      <c r="D17" s="26" t="s">
        <v>74</v>
      </c>
      <c r="E17" s="39">
        <f>'Mem. Cálc. - P.O'!J35</f>
        <v>1</v>
      </c>
      <c r="F17" s="8" t="s">
        <v>29</v>
      </c>
      <c r="G17" s="27">
        <v>312.5</v>
      </c>
      <c r="H17" s="27">
        <f t="shared" si="1"/>
        <v>407.44</v>
      </c>
      <c r="I17" s="27">
        <f t="shared" si="0"/>
        <v>407.44</v>
      </c>
      <c r="K17" s="68">
        <f>(I12+I19)/K16</f>
        <v>2.9100000000000001E-2</v>
      </c>
      <c r="L17" s="67">
        <f>K17*100</f>
        <v>2.91</v>
      </c>
      <c r="N17" s="45">
        <f>SUM(N15:N16)</f>
        <v>0</v>
      </c>
      <c r="Q17" s="13"/>
    </row>
    <row r="18" spans="1:17" s="1" customFormat="1" ht="25.5" customHeight="1" x14ac:dyDescent="0.25">
      <c r="A18" s="15" t="str">
        <f>$A$13&amp;"."&amp;Q5</f>
        <v>2.5</v>
      </c>
      <c r="B18" s="66" t="s">
        <v>166</v>
      </c>
      <c r="C18" s="30" t="s">
        <v>172</v>
      </c>
      <c r="D18" s="26" t="s">
        <v>75</v>
      </c>
      <c r="E18" s="39">
        <f>'Mem. Cálc. - P.O'!J40</f>
        <v>1</v>
      </c>
      <c r="F18" s="8" t="s">
        <v>29</v>
      </c>
      <c r="G18" s="27">
        <v>700.55</v>
      </c>
      <c r="H18" s="27">
        <f t="shared" si="1"/>
        <v>913.38</v>
      </c>
      <c r="I18" s="27">
        <f t="shared" si="0"/>
        <v>913.38</v>
      </c>
      <c r="K18" s="7"/>
      <c r="Q18" s="13"/>
    </row>
    <row r="19" spans="1:17" s="1" customFormat="1" ht="16.5" customHeight="1" x14ac:dyDescent="0.25">
      <c r="A19" s="124" t="str">
        <f>"TOTAL (Item "&amp;A13&amp;"):"</f>
        <v>TOTAL (Item 2):</v>
      </c>
      <c r="B19" s="124"/>
      <c r="C19" s="124"/>
      <c r="D19" s="124"/>
      <c r="E19" s="124"/>
      <c r="F19" s="124"/>
      <c r="G19" s="124"/>
      <c r="H19" s="124"/>
      <c r="I19" s="49">
        <f>SUM(I14:I18)</f>
        <v>8710.8700000000008</v>
      </c>
      <c r="K19" s="7"/>
      <c r="Q19" s="13">
        <v>16</v>
      </c>
    </row>
    <row r="20" spans="1:17" s="1" customFormat="1" ht="16.5" customHeight="1" x14ac:dyDescent="0.25">
      <c r="A20" s="31">
        <v>3</v>
      </c>
      <c r="B20" s="32" t="s">
        <v>72</v>
      </c>
      <c r="C20" s="47" t="s">
        <v>72</v>
      </c>
      <c r="D20" s="122" t="s">
        <v>76</v>
      </c>
      <c r="E20" s="122"/>
      <c r="F20" s="122"/>
      <c r="G20" s="122"/>
      <c r="H20" s="122"/>
      <c r="I20" s="122"/>
      <c r="K20" s="7"/>
      <c r="L20" s="29"/>
      <c r="M20" s="29"/>
      <c r="Q20" s="13"/>
    </row>
    <row r="21" spans="1:17" s="9" customFormat="1" ht="25.5" customHeight="1" x14ac:dyDescent="0.2">
      <c r="A21" s="15" t="s">
        <v>78</v>
      </c>
      <c r="B21" s="35" t="s">
        <v>179</v>
      </c>
      <c r="C21" s="30" t="s">
        <v>172</v>
      </c>
      <c r="D21" s="26" t="s">
        <v>176</v>
      </c>
      <c r="E21" s="5">
        <f>'Mem. Cálc. - P.O'!J45</f>
        <v>66</v>
      </c>
      <c r="F21" s="14" t="s">
        <v>32</v>
      </c>
      <c r="G21" s="27">
        <v>84.49</v>
      </c>
      <c r="H21" s="27">
        <f t="shared" ref="H21:H24" si="2">(G21+(G21*$H$6))</f>
        <v>110.16</v>
      </c>
      <c r="I21" s="27">
        <f t="shared" ref="I21:I24" si="3">E21*H21</f>
        <v>7270.56</v>
      </c>
    </row>
    <row r="22" spans="1:17" s="9" customFormat="1" ht="25.5" customHeight="1" x14ac:dyDescent="0.2">
      <c r="A22" s="15" t="s">
        <v>173</v>
      </c>
      <c r="B22" s="35" t="s">
        <v>177</v>
      </c>
      <c r="C22" s="30" t="s">
        <v>172</v>
      </c>
      <c r="D22" s="26" t="s">
        <v>77</v>
      </c>
      <c r="E22" s="5">
        <f>'Mem. Cálc. - P.O'!J49</f>
        <v>3</v>
      </c>
      <c r="F22" s="8" t="s">
        <v>66</v>
      </c>
      <c r="G22" s="27">
        <v>6136.54</v>
      </c>
      <c r="H22" s="27">
        <f t="shared" si="2"/>
        <v>8000.82</v>
      </c>
      <c r="I22" s="27">
        <f t="shared" si="3"/>
        <v>24002.46</v>
      </c>
    </row>
    <row r="23" spans="1:17" s="9" customFormat="1" ht="25.5" customHeight="1" x14ac:dyDescent="0.2">
      <c r="A23" s="15" t="s">
        <v>174</v>
      </c>
      <c r="B23" s="35">
        <v>90781</v>
      </c>
      <c r="C23" s="30" t="s">
        <v>180</v>
      </c>
      <c r="D23" s="26" t="s">
        <v>178</v>
      </c>
      <c r="E23" s="5">
        <f>'Mem. Cálc. - P.O'!J53</f>
        <v>33</v>
      </c>
      <c r="F23" s="14" t="s">
        <v>32</v>
      </c>
      <c r="G23" s="27">
        <v>35.44</v>
      </c>
      <c r="H23" s="27">
        <f t="shared" si="2"/>
        <v>46.21</v>
      </c>
      <c r="I23" s="27">
        <f t="shared" si="3"/>
        <v>1524.93</v>
      </c>
    </row>
    <row r="24" spans="1:17" s="9" customFormat="1" ht="25.5" customHeight="1" x14ac:dyDescent="0.2">
      <c r="A24" s="15" t="s">
        <v>175</v>
      </c>
      <c r="B24" s="35">
        <v>88253</v>
      </c>
      <c r="C24" s="30" t="s">
        <v>180</v>
      </c>
      <c r="D24" s="26" t="s">
        <v>89</v>
      </c>
      <c r="E24" s="5">
        <f>'Mem. Cálc. - P.O'!J57</f>
        <v>33</v>
      </c>
      <c r="F24" s="14" t="s">
        <v>32</v>
      </c>
      <c r="G24" s="27">
        <v>16.8</v>
      </c>
      <c r="H24" s="27">
        <f t="shared" si="2"/>
        <v>21.9</v>
      </c>
      <c r="I24" s="27">
        <f t="shared" si="3"/>
        <v>722.7</v>
      </c>
    </row>
    <row r="25" spans="1:17" s="1" customFormat="1" ht="16.5" customHeight="1" x14ac:dyDescent="0.25">
      <c r="A25" s="123" t="str">
        <f>"TOTAL (Item "&amp;A20&amp;")"</f>
        <v>TOTAL (Item 3)</v>
      </c>
      <c r="B25" s="123"/>
      <c r="C25" s="123"/>
      <c r="D25" s="123"/>
      <c r="E25" s="123"/>
      <c r="F25" s="123"/>
      <c r="G25" s="123"/>
      <c r="H25" s="123"/>
      <c r="I25" s="49">
        <f>SUM(I21:I24)</f>
        <v>33520.65</v>
      </c>
      <c r="K25" s="7"/>
      <c r="L25" s="29"/>
      <c r="M25" s="29"/>
      <c r="Q25" s="13"/>
    </row>
    <row r="26" spans="1:17" s="1" customFormat="1" ht="16.5" customHeight="1" x14ac:dyDescent="0.25">
      <c r="A26" s="31">
        <v>4</v>
      </c>
      <c r="B26" s="32" t="s">
        <v>72</v>
      </c>
      <c r="C26" s="47" t="s">
        <v>72</v>
      </c>
      <c r="D26" s="122" t="s">
        <v>79</v>
      </c>
      <c r="E26" s="122"/>
      <c r="F26" s="122"/>
      <c r="G26" s="122"/>
      <c r="H26" s="122"/>
      <c r="I26" s="122"/>
      <c r="K26" s="7"/>
      <c r="L26" s="29"/>
      <c r="M26" s="29"/>
      <c r="Q26" s="13"/>
    </row>
    <row r="27" spans="1:17" s="1" customFormat="1" ht="25.5" customHeight="1" x14ac:dyDescent="0.25">
      <c r="A27" s="33" t="s">
        <v>114</v>
      </c>
      <c r="B27" s="66" t="s">
        <v>145</v>
      </c>
      <c r="C27" s="30" t="s">
        <v>172</v>
      </c>
      <c r="D27" s="26" t="s">
        <v>144</v>
      </c>
      <c r="E27" s="39">
        <f>'Mem. Cálc. - P.O'!J62</f>
        <v>0.88</v>
      </c>
      <c r="F27" s="8" t="s">
        <v>27</v>
      </c>
      <c r="G27" s="27">
        <v>464.54</v>
      </c>
      <c r="H27" s="27">
        <f>(G27+(G27*$H$6))</f>
        <v>605.66999999999996</v>
      </c>
      <c r="I27" s="27">
        <f t="shared" ref="I27:I28" si="4">E27*H27</f>
        <v>532.99</v>
      </c>
      <c r="J27" s="43"/>
      <c r="K27" s="7"/>
      <c r="L27" s="29"/>
      <c r="M27" s="29"/>
      <c r="Q27" s="13"/>
    </row>
    <row r="28" spans="1:17" s="1" customFormat="1" ht="25.5" customHeight="1" x14ac:dyDescent="0.25">
      <c r="A28" s="33" t="s">
        <v>125</v>
      </c>
      <c r="B28" s="66" t="s">
        <v>167</v>
      </c>
      <c r="C28" s="30" t="s">
        <v>172</v>
      </c>
      <c r="D28" s="26" t="s">
        <v>143</v>
      </c>
      <c r="E28" s="39">
        <f>'Mem. Cálc. - P.O'!J68</f>
        <v>8</v>
      </c>
      <c r="F28" s="8" t="s">
        <v>29</v>
      </c>
      <c r="G28" s="27">
        <v>4.17</v>
      </c>
      <c r="H28" s="27">
        <f>(G28+(G28*$H$6))</f>
        <v>5.44</v>
      </c>
      <c r="I28" s="27">
        <f t="shared" si="4"/>
        <v>43.52</v>
      </c>
      <c r="K28" s="7"/>
      <c r="L28" s="29"/>
      <c r="M28" s="29"/>
      <c r="Q28" s="13"/>
    </row>
    <row r="29" spans="1:17" s="1" customFormat="1" ht="16.5" customHeight="1" x14ac:dyDescent="0.25">
      <c r="A29" s="123" t="str">
        <f>"TOTAL (Item "&amp;A26&amp;")"</f>
        <v>TOTAL (Item 4)</v>
      </c>
      <c r="B29" s="123"/>
      <c r="C29" s="123"/>
      <c r="D29" s="123"/>
      <c r="E29" s="123"/>
      <c r="F29" s="123"/>
      <c r="G29" s="123"/>
      <c r="H29" s="123"/>
      <c r="I29" s="49">
        <f>SUM(I27:I28)</f>
        <v>576.51</v>
      </c>
      <c r="K29" s="7"/>
      <c r="L29" s="29"/>
      <c r="M29" s="29"/>
      <c r="Q29" s="13"/>
    </row>
    <row r="30" spans="1:17" ht="16.5" customHeight="1" x14ac:dyDescent="0.25">
      <c r="A30" s="47">
        <v>5</v>
      </c>
      <c r="B30" s="32" t="s">
        <v>72</v>
      </c>
      <c r="C30" s="47" t="s">
        <v>72</v>
      </c>
      <c r="D30" s="126" t="s">
        <v>67</v>
      </c>
      <c r="E30" s="126"/>
      <c r="F30" s="126"/>
      <c r="G30" s="126"/>
      <c r="H30" s="126"/>
      <c r="I30" s="126"/>
    </row>
    <row r="31" spans="1:17" ht="25.5" customHeight="1" x14ac:dyDescent="0.25">
      <c r="A31" s="33" t="s">
        <v>146</v>
      </c>
      <c r="B31" s="38">
        <v>90107</v>
      </c>
      <c r="C31" s="30" t="s">
        <v>180</v>
      </c>
      <c r="D31" s="26" t="s">
        <v>68</v>
      </c>
      <c r="E31" s="39">
        <f>'Mem. Cálc. - P.O'!J81</f>
        <v>83.65</v>
      </c>
      <c r="F31" s="8" t="s">
        <v>28</v>
      </c>
      <c r="G31" s="27">
        <v>7</v>
      </c>
      <c r="H31" s="27">
        <f t="shared" ref="H31:H37" si="5">(G31+(G31*$H$6))</f>
        <v>9.1300000000000008</v>
      </c>
      <c r="I31" s="27">
        <f>E31*H31</f>
        <v>763.72</v>
      </c>
    </row>
    <row r="32" spans="1:17" ht="25.5" customHeight="1" x14ac:dyDescent="0.25">
      <c r="A32" s="33" t="s">
        <v>147</v>
      </c>
      <c r="B32" s="38">
        <v>101616</v>
      </c>
      <c r="C32" s="30" t="s">
        <v>180</v>
      </c>
      <c r="D32" s="26" t="s">
        <v>142</v>
      </c>
      <c r="E32" s="39">
        <f>'Mem. Cálc. - P.O'!J93</f>
        <v>58.97</v>
      </c>
      <c r="F32" s="8" t="s">
        <v>27</v>
      </c>
      <c r="G32" s="27">
        <v>4.95</v>
      </c>
      <c r="H32" s="27">
        <f t="shared" si="5"/>
        <v>6.45</v>
      </c>
      <c r="I32" s="27">
        <f t="shared" ref="I32:I37" si="6">E32*H32</f>
        <v>380.36</v>
      </c>
    </row>
    <row r="33" spans="1:17" ht="25.5" customHeight="1" x14ac:dyDescent="0.25">
      <c r="A33" s="33" t="s">
        <v>148</v>
      </c>
      <c r="B33" s="38">
        <v>92210</v>
      </c>
      <c r="C33" s="30" t="s">
        <v>180</v>
      </c>
      <c r="D33" s="26" t="s">
        <v>69</v>
      </c>
      <c r="E33" s="39">
        <f>'Mem. Cálc. - P.O'!J105</f>
        <v>84.23</v>
      </c>
      <c r="F33" s="8" t="s">
        <v>30</v>
      </c>
      <c r="G33" s="27">
        <v>174.07</v>
      </c>
      <c r="H33" s="27">
        <f t="shared" si="5"/>
        <v>226.95</v>
      </c>
      <c r="I33" s="27">
        <f t="shared" si="6"/>
        <v>19116</v>
      </c>
    </row>
    <row r="34" spans="1:17" ht="25.5" customHeight="1" x14ac:dyDescent="0.25">
      <c r="A34" s="33" t="s">
        <v>149</v>
      </c>
      <c r="B34" s="38">
        <v>93382</v>
      </c>
      <c r="C34" s="30" t="s">
        <v>180</v>
      </c>
      <c r="D34" s="26" t="s">
        <v>70</v>
      </c>
      <c r="E34" s="39">
        <f>'Mem. Cálc. - P.O'!J120</f>
        <v>68.42</v>
      </c>
      <c r="F34" s="8" t="s">
        <v>28</v>
      </c>
      <c r="G34" s="27">
        <v>27.39</v>
      </c>
      <c r="H34" s="27">
        <f t="shared" si="5"/>
        <v>35.71</v>
      </c>
      <c r="I34" s="27">
        <f t="shared" si="6"/>
        <v>2443.2800000000002</v>
      </c>
    </row>
    <row r="35" spans="1:17" s="99" customFormat="1" ht="54" customHeight="1" x14ac:dyDescent="0.2">
      <c r="A35" s="33" t="s">
        <v>150</v>
      </c>
      <c r="B35" s="38" t="s">
        <v>185</v>
      </c>
      <c r="C35" s="38" t="s">
        <v>185</v>
      </c>
      <c r="D35" s="26" t="s">
        <v>184</v>
      </c>
      <c r="E35" s="39">
        <f>'Mem. Cálc. - P.O'!J125</f>
        <v>2</v>
      </c>
      <c r="F35" s="8" t="s">
        <v>29</v>
      </c>
      <c r="G35" s="8">
        <f>'C.P.U.'!I9</f>
        <v>5853.28</v>
      </c>
      <c r="H35" s="8">
        <f t="shared" si="5"/>
        <v>7631.51</v>
      </c>
      <c r="I35" s="8">
        <f t="shared" si="6"/>
        <v>15263.02</v>
      </c>
      <c r="O35" s="100">
        <v>48</v>
      </c>
    </row>
    <row r="36" spans="1:17" s="99" customFormat="1" ht="42.75" customHeight="1" x14ac:dyDescent="0.2">
      <c r="A36" s="33" t="s">
        <v>181</v>
      </c>
      <c r="B36" s="38" t="s">
        <v>219</v>
      </c>
      <c r="C36" s="38" t="s">
        <v>219</v>
      </c>
      <c r="D36" s="26" t="s">
        <v>218</v>
      </c>
      <c r="E36" s="39">
        <f>'Mem. Cálc. - P.O'!J129</f>
        <v>1</v>
      </c>
      <c r="F36" s="8" t="s">
        <v>29</v>
      </c>
      <c r="G36" s="8">
        <f>'C.P.U.'!I39</f>
        <v>5634.74</v>
      </c>
      <c r="H36" s="8">
        <f t="shared" si="5"/>
        <v>7346.57</v>
      </c>
      <c r="I36" s="8">
        <f t="shared" si="6"/>
        <v>7346.57</v>
      </c>
      <c r="O36" s="100"/>
    </row>
    <row r="37" spans="1:17" ht="51" customHeight="1" x14ac:dyDescent="0.25">
      <c r="A37" s="33" t="s">
        <v>183</v>
      </c>
      <c r="B37" s="66" t="s">
        <v>168</v>
      </c>
      <c r="C37" s="30" t="s">
        <v>172</v>
      </c>
      <c r="D37" s="26" t="s">
        <v>132</v>
      </c>
      <c r="E37" s="39">
        <f>'Mem. Cálc. - P.O'!J137</f>
        <v>8</v>
      </c>
      <c r="F37" s="8" t="s">
        <v>29</v>
      </c>
      <c r="G37" s="27">
        <v>2313.86</v>
      </c>
      <c r="H37" s="27">
        <f t="shared" si="5"/>
        <v>3016.81</v>
      </c>
      <c r="I37" s="27">
        <f t="shared" si="6"/>
        <v>24134.48</v>
      </c>
    </row>
    <row r="38" spans="1:17" ht="16.5" customHeight="1" x14ac:dyDescent="0.25">
      <c r="A38" s="124" t="str">
        <f>"TOTAL (Item "&amp;A30&amp;"):"</f>
        <v>TOTAL (Item 5):</v>
      </c>
      <c r="B38" s="124"/>
      <c r="C38" s="124"/>
      <c r="D38" s="124"/>
      <c r="E38" s="124"/>
      <c r="F38" s="124"/>
      <c r="G38" s="124"/>
      <c r="H38" s="124"/>
      <c r="I38" s="49">
        <f>SUM(I31:I37)</f>
        <v>69447.429999999993</v>
      </c>
    </row>
    <row r="39" spans="1:17" s="1" customFormat="1" ht="16.5" customHeight="1" x14ac:dyDescent="0.25">
      <c r="A39" s="31">
        <v>6</v>
      </c>
      <c r="B39" s="32" t="s">
        <v>72</v>
      </c>
      <c r="C39" s="47" t="s">
        <v>72</v>
      </c>
      <c r="D39" s="122" t="s">
        <v>47</v>
      </c>
      <c r="E39" s="122"/>
      <c r="F39" s="122"/>
      <c r="G39" s="122"/>
      <c r="H39" s="122"/>
      <c r="I39" s="122"/>
      <c r="K39" s="7"/>
      <c r="L39" s="29"/>
      <c r="M39" s="29"/>
      <c r="Q39" s="13"/>
    </row>
    <row r="40" spans="1:17" ht="25.5" customHeight="1" x14ac:dyDescent="0.25">
      <c r="A40" s="15" t="s">
        <v>151</v>
      </c>
      <c r="B40" s="66" t="s">
        <v>169</v>
      </c>
      <c r="C40" s="30" t="s">
        <v>172</v>
      </c>
      <c r="D40" s="26" t="s">
        <v>115</v>
      </c>
      <c r="E40" s="39">
        <f>'Mem. Cálc. - P.O'!J144</f>
        <v>1947.03</v>
      </c>
      <c r="F40" s="8" t="s">
        <v>27</v>
      </c>
      <c r="G40" s="27">
        <v>12.9</v>
      </c>
      <c r="H40" s="27">
        <f t="shared" ref="H40:H47" si="7">(G40+(G40*$H$6))</f>
        <v>16.82</v>
      </c>
      <c r="I40" s="27">
        <f t="shared" ref="I40:I47" si="8">E40*H40</f>
        <v>32749.040000000001</v>
      </c>
      <c r="K40" s="28"/>
      <c r="L40" s="28"/>
    </row>
    <row r="41" spans="1:17" ht="25.5" customHeight="1" x14ac:dyDescent="0.25">
      <c r="A41" s="15" t="s">
        <v>152</v>
      </c>
      <c r="B41" s="38" t="s">
        <v>170</v>
      </c>
      <c r="C41" s="30" t="s">
        <v>172</v>
      </c>
      <c r="D41" s="26" t="s">
        <v>116</v>
      </c>
      <c r="E41" s="39">
        <f>'Mem. Cálc. - P.O'!J148</f>
        <v>467.29</v>
      </c>
      <c r="F41" s="8" t="s">
        <v>28</v>
      </c>
      <c r="G41" s="27">
        <v>2.92</v>
      </c>
      <c r="H41" s="27">
        <f t="shared" si="7"/>
        <v>3.81</v>
      </c>
      <c r="I41" s="27">
        <f t="shared" si="8"/>
        <v>1780.37</v>
      </c>
      <c r="K41" s="28"/>
      <c r="L41" s="28"/>
    </row>
    <row r="42" spans="1:17" ht="25.5" customHeight="1" x14ac:dyDescent="0.25">
      <c r="A42" s="15" t="s">
        <v>153</v>
      </c>
      <c r="B42" s="38" t="s">
        <v>251</v>
      </c>
      <c r="C42" s="30" t="s">
        <v>172</v>
      </c>
      <c r="D42" s="26" t="s">
        <v>252</v>
      </c>
      <c r="E42" s="39">
        <f>'Mem. Cálc. - P.O'!J152</f>
        <v>4719.63</v>
      </c>
      <c r="F42" s="8" t="s">
        <v>117</v>
      </c>
      <c r="G42" s="27">
        <v>4.7699999999999996</v>
      </c>
      <c r="H42" s="27">
        <f t="shared" si="7"/>
        <v>6.22</v>
      </c>
      <c r="I42" s="27">
        <f t="shared" si="8"/>
        <v>29356.1</v>
      </c>
      <c r="K42" s="28"/>
      <c r="L42" s="28"/>
    </row>
    <row r="43" spans="1:17" ht="25.5" customHeight="1" x14ac:dyDescent="0.25">
      <c r="A43" s="15" t="s">
        <v>154</v>
      </c>
      <c r="B43" s="38">
        <v>100576</v>
      </c>
      <c r="C43" s="30" t="s">
        <v>180</v>
      </c>
      <c r="D43" s="26" t="s">
        <v>159</v>
      </c>
      <c r="E43" s="39">
        <f>'Mem. Cálc. - P.O'!J157</f>
        <v>1947.03</v>
      </c>
      <c r="F43" s="8" t="s">
        <v>27</v>
      </c>
      <c r="G43" s="27">
        <v>2.21</v>
      </c>
      <c r="H43" s="27">
        <f t="shared" si="7"/>
        <v>2.88</v>
      </c>
      <c r="I43" s="27">
        <f t="shared" si="8"/>
        <v>5607.45</v>
      </c>
      <c r="K43" s="28"/>
      <c r="L43" s="28"/>
    </row>
    <row r="44" spans="1:17" ht="25.5" customHeight="1" x14ac:dyDescent="0.25">
      <c r="A44" s="15" t="s">
        <v>155</v>
      </c>
      <c r="B44" s="38" t="s">
        <v>171</v>
      </c>
      <c r="C44" s="30" t="s">
        <v>172</v>
      </c>
      <c r="D44" s="26" t="s">
        <v>123</v>
      </c>
      <c r="E44" s="39">
        <f>'Mem. Cálc. - P.O'!J162</f>
        <v>389</v>
      </c>
      <c r="F44" s="8" t="s">
        <v>30</v>
      </c>
      <c r="G44" s="27">
        <v>9.2100000000000009</v>
      </c>
      <c r="H44" s="27">
        <f t="shared" si="7"/>
        <v>12.01</v>
      </c>
      <c r="I44" s="27">
        <f t="shared" si="8"/>
        <v>4671.8900000000003</v>
      </c>
      <c r="K44" s="28"/>
      <c r="L44" s="28"/>
    </row>
    <row r="45" spans="1:17" ht="25.5" customHeight="1" x14ac:dyDescent="0.25">
      <c r="A45" s="15" t="s">
        <v>156</v>
      </c>
      <c r="B45" s="38">
        <v>94274</v>
      </c>
      <c r="C45" s="30" t="s">
        <v>180</v>
      </c>
      <c r="D45" s="26" t="s">
        <v>124</v>
      </c>
      <c r="E45" s="39">
        <f>'Mem. Cálc. - P.O'!J173</f>
        <v>517.28</v>
      </c>
      <c r="F45" s="8" t="s">
        <v>30</v>
      </c>
      <c r="G45" s="27">
        <v>71.069999999999993</v>
      </c>
      <c r="H45" s="27">
        <f t="shared" si="7"/>
        <v>92.66</v>
      </c>
      <c r="I45" s="27">
        <f t="shared" si="8"/>
        <v>47931.16</v>
      </c>
      <c r="K45" s="28"/>
      <c r="L45" s="28"/>
    </row>
    <row r="46" spans="1:17" ht="25.5" customHeight="1" x14ac:dyDescent="0.25">
      <c r="A46" s="15" t="s">
        <v>157</v>
      </c>
      <c r="B46" s="38">
        <v>92407</v>
      </c>
      <c r="C46" s="30" t="s">
        <v>180</v>
      </c>
      <c r="D46" s="26" t="s">
        <v>140</v>
      </c>
      <c r="E46" s="39">
        <f>'Mem. Cálc. - P.O'!J181</f>
        <v>1947.03</v>
      </c>
      <c r="F46" s="8" t="s">
        <v>27</v>
      </c>
      <c r="G46" s="27">
        <v>88.11</v>
      </c>
      <c r="H46" s="27">
        <f t="shared" si="7"/>
        <v>114.88</v>
      </c>
      <c r="I46" s="27">
        <f t="shared" si="8"/>
        <v>223674.81</v>
      </c>
      <c r="K46" s="28"/>
      <c r="L46" s="28"/>
    </row>
    <row r="47" spans="1:17" ht="25.5" customHeight="1" x14ac:dyDescent="0.25">
      <c r="A47" s="15" t="s">
        <v>158</v>
      </c>
      <c r="B47" s="38">
        <v>94288</v>
      </c>
      <c r="C47" s="30" t="s">
        <v>180</v>
      </c>
      <c r="D47" s="26" t="s">
        <v>141</v>
      </c>
      <c r="E47" s="39">
        <f>'Mem. Cálc. - P.O'!J189</f>
        <v>577.99</v>
      </c>
      <c r="F47" s="8" t="s">
        <v>30</v>
      </c>
      <c r="G47" s="27">
        <v>52.25</v>
      </c>
      <c r="H47" s="27">
        <f t="shared" si="7"/>
        <v>68.12</v>
      </c>
      <c r="I47" s="27">
        <f t="shared" si="8"/>
        <v>39372.68</v>
      </c>
      <c r="K47" s="28"/>
      <c r="L47" s="28"/>
    </row>
    <row r="48" spans="1:17" ht="16.5" customHeight="1" x14ac:dyDescent="0.25">
      <c r="A48" s="124" t="str">
        <f>"SUB-TOTAL (Item "&amp;A39&amp;"):"</f>
        <v>SUB-TOTAL (Item 6):</v>
      </c>
      <c r="B48" s="124"/>
      <c r="C48" s="124"/>
      <c r="D48" s="124"/>
      <c r="E48" s="124"/>
      <c r="F48" s="124"/>
      <c r="G48" s="124"/>
      <c r="H48" s="124"/>
      <c r="I48" s="49">
        <f>SUM(I40:I47)</f>
        <v>385143.5</v>
      </c>
    </row>
    <row r="49" spans="1:10" ht="16.5" customHeight="1" x14ac:dyDescent="0.25">
      <c r="A49" s="142" t="s">
        <v>46</v>
      </c>
      <c r="B49" s="142"/>
      <c r="C49" s="142"/>
      <c r="D49" s="142"/>
      <c r="E49" s="142"/>
      <c r="F49" s="142"/>
      <c r="G49" s="142"/>
      <c r="H49" s="142"/>
      <c r="I49" s="50">
        <f>I12+I19+I25+I29+I38+I48</f>
        <v>499885.96</v>
      </c>
      <c r="J49" s="28"/>
    </row>
    <row r="50" spans="1:10" ht="13.5" customHeight="1" x14ac:dyDescent="0.25">
      <c r="A50" s="143" t="s">
        <v>45</v>
      </c>
      <c r="B50" s="144"/>
      <c r="C50" s="144"/>
      <c r="D50" s="144"/>
      <c r="E50" s="144"/>
      <c r="F50" s="144"/>
      <c r="G50" s="144"/>
      <c r="H50" s="144"/>
      <c r="I50" s="145"/>
    </row>
    <row r="51" spans="1:10" ht="15.75" customHeight="1" x14ac:dyDescent="0.25">
      <c r="A51" s="146" t="s">
        <v>44</v>
      </c>
      <c r="B51" s="147"/>
      <c r="C51" s="147"/>
      <c r="D51" s="147"/>
      <c r="E51" s="147"/>
      <c r="F51" s="147"/>
      <c r="G51" s="147"/>
      <c r="H51" s="147"/>
      <c r="I51" s="148"/>
    </row>
    <row r="52" spans="1:10" ht="22.5" customHeight="1" x14ac:dyDescent="0.25">
      <c r="A52" s="146" t="s">
        <v>43</v>
      </c>
      <c r="B52" s="147"/>
      <c r="C52" s="147"/>
      <c r="D52" s="147"/>
      <c r="E52" s="147"/>
      <c r="F52" s="147"/>
      <c r="G52" s="147"/>
      <c r="H52" s="147"/>
      <c r="I52" s="148"/>
    </row>
    <row r="53" spans="1:10" ht="16.5" customHeight="1" x14ac:dyDescent="0.25">
      <c r="A53" s="146" t="s">
        <v>42</v>
      </c>
      <c r="B53" s="147"/>
      <c r="C53" s="147"/>
      <c r="D53" s="147"/>
      <c r="E53" s="147"/>
      <c r="F53" s="147"/>
      <c r="G53" s="147"/>
      <c r="H53" s="147"/>
      <c r="I53" s="148"/>
    </row>
    <row r="54" spans="1:10" ht="21.75" customHeight="1" x14ac:dyDescent="0.25">
      <c r="A54" s="146" t="s">
        <v>41</v>
      </c>
      <c r="B54" s="147"/>
      <c r="C54" s="147"/>
      <c r="D54" s="147"/>
      <c r="E54" s="147"/>
      <c r="F54" s="147"/>
      <c r="G54" s="147"/>
      <c r="H54" s="147"/>
      <c r="I54" s="148"/>
    </row>
    <row r="55" spans="1:10" ht="24" customHeight="1" x14ac:dyDescent="0.25">
      <c r="A55" s="146" t="s">
        <v>40</v>
      </c>
      <c r="B55" s="147"/>
      <c r="C55" s="147"/>
      <c r="D55" s="147"/>
      <c r="E55" s="147"/>
      <c r="F55" s="147"/>
      <c r="G55" s="147"/>
      <c r="H55" s="147"/>
      <c r="I55" s="148"/>
    </row>
    <row r="56" spans="1:10" ht="11.25" customHeight="1" x14ac:dyDescent="0.25">
      <c r="A56" s="146" t="s">
        <v>39</v>
      </c>
      <c r="B56" s="147"/>
      <c r="C56" s="147"/>
      <c r="D56" s="147"/>
      <c r="E56" s="147"/>
      <c r="F56" s="147"/>
      <c r="G56" s="147"/>
      <c r="H56" s="147"/>
      <c r="I56" s="148"/>
    </row>
    <row r="57" spans="1:10" ht="24" customHeight="1" x14ac:dyDescent="0.25">
      <c r="A57" s="146" t="s">
        <v>38</v>
      </c>
      <c r="B57" s="147"/>
      <c r="C57" s="147"/>
      <c r="D57" s="147"/>
      <c r="E57" s="147"/>
      <c r="F57" s="147"/>
      <c r="G57" s="147"/>
      <c r="H57" s="147"/>
      <c r="I57" s="148"/>
    </row>
    <row r="58" spans="1:10" ht="24" customHeight="1" x14ac:dyDescent="0.25">
      <c r="A58" s="139" t="s">
        <v>37</v>
      </c>
      <c r="B58" s="140"/>
      <c r="C58" s="140"/>
      <c r="D58" s="140"/>
      <c r="E58" s="140"/>
      <c r="F58" s="140"/>
      <c r="G58" s="140"/>
      <c r="H58" s="140"/>
      <c r="I58" s="141"/>
    </row>
  </sheetData>
  <mergeCells count="31">
    <mergeCell ref="D30:I30"/>
    <mergeCell ref="A48:H48"/>
    <mergeCell ref="A58:I58"/>
    <mergeCell ref="D39:I39"/>
    <mergeCell ref="A38:H38"/>
    <mergeCell ref="A49:H49"/>
    <mergeCell ref="A50:I50"/>
    <mergeCell ref="A51:I51"/>
    <mergeCell ref="A52:I52"/>
    <mergeCell ref="A53:I53"/>
    <mergeCell ref="A54:I54"/>
    <mergeCell ref="A55:I55"/>
    <mergeCell ref="A56:I56"/>
    <mergeCell ref="A57:I57"/>
    <mergeCell ref="A8:I8"/>
    <mergeCell ref="D10:I10"/>
    <mergeCell ref="A12:H12"/>
    <mergeCell ref="D13:I13"/>
    <mergeCell ref="A1:I3"/>
    <mergeCell ref="A4:I4"/>
    <mergeCell ref="A5:I5"/>
    <mergeCell ref="A6:B7"/>
    <mergeCell ref="G6:G7"/>
    <mergeCell ref="H6:H7"/>
    <mergeCell ref="I6:I7"/>
    <mergeCell ref="C6:F7"/>
    <mergeCell ref="D20:I20"/>
    <mergeCell ref="A25:H25"/>
    <mergeCell ref="D26:I26"/>
    <mergeCell ref="A29:H29"/>
    <mergeCell ref="A19:H19"/>
  </mergeCells>
  <phoneticPr fontId="16" type="noConversion"/>
  <pageMargins left="0.19685039370078741" right="0.19685039370078741" top="0.19685039370078741" bottom="1.1811023622047245" header="0.31496062992125984" footer="0.31496062992125984"/>
  <pageSetup paperSize="9" scale="69" fitToHeight="0" orientation="landscape" verticalDpi="4294967295" r:id="rId1"/>
  <headerFooter>
    <oddFooter>Página &amp;P de &amp;N</oddFooter>
  </headerFooter>
  <rowBreaks count="1" manualBreakCount="1">
    <brk id="34"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89"/>
  <sheetViews>
    <sheetView view="pageBreakPreview" zoomScaleNormal="100" zoomScaleSheetLayoutView="100" workbookViewId="0">
      <selection activeCell="E146" sqref="E146"/>
    </sheetView>
  </sheetViews>
  <sheetFormatPr defaultRowHeight="16.5" customHeight="1" x14ac:dyDescent="0.25"/>
  <cols>
    <col min="1" max="1" width="14.7109375" style="12" customWidth="1"/>
    <col min="2" max="2" width="31.5703125" style="12" customWidth="1"/>
    <col min="3" max="10" width="14.7109375" style="12" customWidth="1"/>
    <col min="11" max="11" width="9.140625" style="12"/>
    <col min="12" max="12" width="11.28515625" style="12" bestFit="1" customWidth="1"/>
    <col min="13" max="16384" width="9.140625" style="12"/>
  </cols>
  <sheetData>
    <row r="1" spans="1:10" s="1" customFormat="1" ht="16.5" customHeight="1" x14ac:dyDescent="0.2">
      <c r="A1" s="197" t="s">
        <v>25</v>
      </c>
      <c r="B1" s="197"/>
      <c r="C1" s="197"/>
      <c r="D1" s="197"/>
      <c r="E1" s="197"/>
      <c r="F1" s="197"/>
      <c r="G1" s="197"/>
      <c r="H1" s="197"/>
      <c r="I1" s="197"/>
      <c r="J1" s="197"/>
    </row>
    <row r="2" spans="1:10" s="1" customFormat="1" ht="16.5" customHeight="1" x14ac:dyDescent="0.2">
      <c r="A2" s="197"/>
      <c r="B2" s="197"/>
      <c r="C2" s="197"/>
      <c r="D2" s="197"/>
      <c r="E2" s="197"/>
      <c r="F2" s="197"/>
      <c r="G2" s="197"/>
      <c r="H2" s="197"/>
      <c r="I2" s="197"/>
      <c r="J2" s="197"/>
    </row>
    <row r="3" spans="1:10" s="1" customFormat="1" ht="16.5" customHeight="1" x14ac:dyDescent="0.2">
      <c r="A3" s="197"/>
      <c r="B3" s="197"/>
      <c r="C3" s="197"/>
      <c r="D3" s="197"/>
      <c r="E3" s="197"/>
      <c r="F3" s="197"/>
      <c r="G3" s="197"/>
      <c r="H3" s="197"/>
      <c r="I3" s="197"/>
      <c r="J3" s="197"/>
    </row>
    <row r="4" spans="1:10" s="1" customFormat="1" ht="16.5" customHeight="1" x14ac:dyDescent="0.2">
      <c r="A4" s="198" t="str">
        <f>'Plan. Orçamentária'!A4:I4</f>
        <v>OBRA POR EXECUÇÃO INDIRETA</v>
      </c>
      <c r="B4" s="198"/>
      <c r="C4" s="198"/>
      <c r="D4" s="198"/>
      <c r="E4" s="198"/>
      <c r="F4" s="198"/>
      <c r="G4" s="198"/>
      <c r="H4" s="198"/>
      <c r="I4" s="198"/>
      <c r="J4" s="198"/>
    </row>
    <row r="5" spans="1:10" s="1" customFormat="1" ht="16.5" customHeight="1" x14ac:dyDescent="0.2">
      <c r="A5" s="128" t="str">
        <f>'Plan. Orçamentária'!A5</f>
        <v xml:space="preserve"> Setor requisitante: Secretaria Municipal de Obras e Serviços Urbanos</v>
      </c>
      <c r="B5" s="128"/>
      <c r="C5" s="128"/>
      <c r="D5" s="128"/>
      <c r="E5" s="128"/>
      <c r="F5" s="128"/>
      <c r="G5" s="128"/>
      <c r="H5" s="128"/>
      <c r="I5" s="128"/>
      <c r="J5" s="128"/>
    </row>
    <row r="6" spans="1:10" s="1" customFormat="1" ht="16.5" customHeight="1" x14ac:dyDescent="0.2">
      <c r="A6" s="128" t="str">
        <f>'Plan. Orçamentária'!A6</f>
        <v>Objeto:</v>
      </c>
      <c r="B6" s="199" t="str">
        <f>'Plan. Orçamentária'!C6</f>
        <v>LOTE 03 - Pavimentação de via em piso de concreto pré-moldado intertravado, tipo Sextavado - Rua Antônio Muzzi e Rua Vicente Augusto, bairro Santa Maria - Nova Era/MG</v>
      </c>
      <c r="C6" s="199"/>
      <c r="D6" s="199"/>
      <c r="E6" s="199"/>
      <c r="F6" s="199"/>
      <c r="G6" s="199"/>
      <c r="H6" s="129" t="str">
        <f>'Plan. Orçamentária'!G6</f>
        <v>BDI:</v>
      </c>
      <c r="I6" s="200">
        <f>'Plan. Orçamentária'!H6</f>
        <v>0.30380000000000001</v>
      </c>
      <c r="J6" s="201">
        <f ca="1">'Plan. Orçamentária'!I6</f>
        <v>44887</v>
      </c>
    </row>
    <row r="7" spans="1:10" s="1" customFormat="1" ht="16.5" customHeight="1" x14ac:dyDescent="0.2">
      <c r="A7" s="128"/>
      <c r="B7" s="199"/>
      <c r="C7" s="199"/>
      <c r="D7" s="199"/>
      <c r="E7" s="199"/>
      <c r="F7" s="199"/>
      <c r="G7" s="199"/>
      <c r="H7" s="129"/>
      <c r="I7" s="128"/>
      <c r="J7" s="201"/>
    </row>
    <row r="8" spans="1:10" s="1" customFormat="1" ht="16.5" customHeight="1" x14ac:dyDescent="0.2">
      <c r="A8" s="198" t="s">
        <v>11</v>
      </c>
      <c r="B8" s="198"/>
      <c r="C8" s="198"/>
      <c r="D8" s="198"/>
      <c r="E8" s="198"/>
      <c r="F8" s="198"/>
      <c r="G8" s="198"/>
      <c r="H8" s="198"/>
      <c r="I8" s="198"/>
      <c r="J8" s="198"/>
    </row>
    <row r="9" spans="1:10" s="1" customFormat="1" ht="16.5" customHeight="1" x14ac:dyDescent="0.2">
      <c r="A9" s="48">
        <f>'Plan. Orçamentária'!A10</f>
        <v>1</v>
      </c>
      <c r="B9" s="196" t="str">
        <f>'Plan. Orçamentária'!D10</f>
        <v>MOBILIZAÇÃO E DESMOBILIZAÇÃO</v>
      </c>
      <c r="C9" s="196"/>
      <c r="D9" s="196"/>
      <c r="E9" s="196"/>
      <c r="F9" s="196"/>
      <c r="G9" s="196"/>
      <c r="H9" s="196"/>
      <c r="I9" s="196"/>
      <c r="J9" s="196"/>
    </row>
    <row r="10" spans="1:10" s="1" customFormat="1" ht="16.5" customHeight="1" x14ac:dyDescent="0.2">
      <c r="A10" s="157" t="s">
        <v>12</v>
      </c>
      <c r="B10" s="157"/>
      <c r="C10" s="157"/>
      <c r="D10" s="164" t="s">
        <v>22</v>
      </c>
      <c r="E10" s="164"/>
      <c r="F10" s="164" t="s">
        <v>23</v>
      </c>
      <c r="G10" s="164"/>
      <c r="H10" s="164" t="str">
        <f>'Plan. Orçamentária'!D11</f>
        <v>Mobilização e desmobilização de obra em centro urbano ou região limítrofe com valor até o valor de 1.000.000,00</v>
      </c>
      <c r="I10" s="164"/>
      <c r="J10" s="164"/>
    </row>
    <row r="11" spans="1:10" s="1" customFormat="1" ht="16.5" customHeight="1" x14ac:dyDescent="0.2">
      <c r="A11" s="157"/>
      <c r="B11" s="157"/>
      <c r="C11" s="157"/>
      <c r="D11" s="164"/>
      <c r="E11" s="164"/>
      <c r="F11" s="164"/>
      <c r="G11" s="164"/>
      <c r="H11" s="164"/>
      <c r="I11" s="164"/>
      <c r="J11" s="164"/>
    </row>
    <row r="12" spans="1:10" s="1" customFormat="1" ht="16.5" customHeight="1" x14ac:dyDescent="0.2">
      <c r="A12" s="157"/>
      <c r="B12" s="157"/>
      <c r="C12" s="157"/>
      <c r="D12" s="164"/>
      <c r="E12" s="164"/>
      <c r="F12" s="164"/>
      <c r="G12" s="164"/>
      <c r="H12" s="164"/>
      <c r="I12" s="164"/>
      <c r="J12" s="164"/>
    </row>
    <row r="13" spans="1:10" s="1" customFormat="1" ht="16.5" customHeight="1" x14ac:dyDescent="0.2">
      <c r="A13" s="195">
        <v>0.5</v>
      </c>
      <c r="B13" s="195"/>
      <c r="C13" s="195"/>
      <c r="D13" s="193">
        <f>'Plan. Orçamentária'!I19+'Plan. Orçamentária'!I25+'Plan. Orçamentária'!I29+'Plan. Orçamentária'!I38+'Plan. Orçamentária'!I48</f>
        <v>497398.96</v>
      </c>
      <c r="E13" s="193"/>
      <c r="F13" s="193">
        <f>D13/1.3038</f>
        <v>381499.43</v>
      </c>
      <c r="G13" s="193"/>
      <c r="H13" s="193">
        <f>(F13*A13)/100</f>
        <v>1907.5</v>
      </c>
      <c r="I13" s="193"/>
      <c r="J13" s="193"/>
    </row>
    <row r="14" spans="1:10" s="1" customFormat="1" ht="16.5" customHeight="1" x14ac:dyDescent="0.2">
      <c r="A14" s="16" t="str">
        <f>'Plan. Orçamentária'!A11</f>
        <v>1.1</v>
      </c>
      <c r="B14" s="202" t="str">
        <f>'Plan. Orçamentária'!D11</f>
        <v>Mobilização e desmobilização de obra em centro urbano ou região limítrofe com valor até o valor de 1.000.000,00</v>
      </c>
      <c r="C14" s="203"/>
      <c r="D14" s="203"/>
      <c r="E14" s="203"/>
      <c r="F14" s="203"/>
      <c r="G14" s="203"/>
      <c r="H14" s="203"/>
      <c r="I14" s="203"/>
      <c r="J14" s="204"/>
    </row>
    <row r="15" spans="1:10" s="1" customFormat="1" ht="16.5" customHeight="1" x14ac:dyDescent="0.2">
      <c r="A15" s="157" t="s">
        <v>12</v>
      </c>
      <c r="B15" s="157"/>
      <c r="C15" s="157"/>
      <c r="D15" s="47" t="s">
        <v>13</v>
      </c>
      <c r="E15" s="47" t="s">
        <v>14</v>
      </c>
      <c r="F15" s="47" t="s">
        <v>15</v>
      </c>
      <c r="G15" s="47" t="s">
        <v>16</v>
      </c>
      <c r="H15" s="47" t="s">
        <v>17</v>
      </c>
      <c r="I15" s="47" t="s">
        <v>18</v>
      </c>
      <c r="J15" s="47" t="s">
        <v>19</v>
      </c>
    </row>
    <row r="16" spans="1:10" s="1" customFormat="1" ht="16.5" customHeight="1" x14ac:dyDescent="0.2">
      <c r="A16" s="180" t="s">
        <v>133</v>
      </c>
      <c r="B16" s="180"/>
      <c r="C16" s="180"/>
      <c r="D16" s="5"/>
      <c r="E16" s="5"/>
      <c r="F16" s="5"/>
      <c r="G16" s="5">
        <v>0.7</v>
      </c>
      <c r="H16" s="5"/>
      <c r="I16" s="5"/>
      <c r="J16" s="5">
        <f>((PRODUCT(D16:H16))-I16)</f>
        <v>0.7</v>
      </c>
    </row>
    <row r="17" spans="1:10" s="1" customFormat="1" ht="16.5" customHeight="1" x14ac:dyDescent="0.2">
      <c r="A17" s="180" t="s">
        <v>233</v>
      </c>
      <c r="B17" s="180"/>
      <c r="C17" s="180"/>
      <c r="D17" s="5"/>
      <c r="E17" s="5"/>
      <c r="F17" s="5"/>
      <c r="G17" s="5">
        <v>0.3</v>
      </c>
      <c r="H17" s="5"/>
      <c r="I17" s="5"/>
      <c r="J17" s="5">
        <f>((PRODUCT(D17:H17))-I17)</f>
        <v>0.3</v>
      </c>
    </row>
    <row r="18" spans="1:10" ht="16.5" customHeight="1" x14ac:dyDescent="0.25">
      <c r="A18" s="156" t="str">
        <f>"TOTAL - "&amp;'Plan. Orçamentária'!F11</f>
        <v>TOTAL - VB</v>
      </c>
      <c r="B18" s="156"/>
      <c r="C18" s="156"/>
      <c r="D18" s="156"/>
      <c r="E18" s="156"/>
      <c r="F18" s="156"/>
      <c r="G18" s="156"/>
      <c r="H18" s="156"/>
      <c r="I18" s="156"/>
      <c r="J18" s="41">
        <f>SUM(J16:J17)</f>
        <v>1</v>
      </c>
    </row>
    <row r="19" spans="1:10" s="1" customFormat="1" ht="16.5" customHeight="1" x14ac:dyDescent="0.2">
      <c r="A19" s="48">
        <f>'Plan. Orçamentária'!A13</f>
        <v>2</v>
      </c>
      <c r="B19" s="196" t="str">
        <f>'Plan. Orçamentária'!D13</f>
        <v>CANTEIRO DE OBRAS</v>
      </c>
      <c r="C19" s="196"/>
      <c r="D19" s="196"/>
      <c r="E19" s="196"/>
      <c r="F19" s="196"/>
      <c r="G19" s="196"/>
      <c r="H19" s="196"/>
      <c r="I19" s="196"/>
      <c r="J19" s="196"/>
    </row>
    <row r="20" spans="1:10" s="1" customFormat="1" ht="27.75" customHeight="1" x14ac:dyDescent="0.2">
      <c r="A20" s="16" t="str">
        <f>'Plan. Orçamentária'!A14</f>
        <v>2.1</v>
      </c>
      <c r="B20" s="194" t="str">
        <f>'Plan. Orçamentária'!D14</f>
        <v>Fornecimento e colocação de placa de obra em chapa galvanizada (3,00 x 1,50m) - em chapa galvanizada 0,26 afixadas com rebites 540 e parafusos 3/8, em estrutura metálica viga u 2" enrijecida com metalon 20 x 20, suporte em eucalipto autoclavado pintadas</v>
      </c>
      <c r="C20" s="194"/>
      <c r="D20" s="194"/>
      <c r="E20" s="194"/>
      <c r="F20" s="194"/>
      <c r="G20" s="194"/>
      <c r="H20" s="194"/>
      <c r="I20" s="194"/>
      <c r="J20" s="194"/>
    </row>
    <row r="21" spans="1:10" s="1" customFormat="1" ht="16.5" customHeight="1" x14ac:dyDescent="0.2">
      <c r="A21" s="157" t="s">
        <v>12</v>
      </c>
      <c r="B21" s="157"/>
      <c r="C21" s="157"/>
      <c r="D21" s="47" t="s">
        <v>13</v>
      </c>
      <c r="E21" s="47" t="s">
        <v>14</v>
      </c>
      <c r="F21" s="47" t="s">
        <v>15</v>
      </c>
      <c r="G21" s="47" t="s">
        <v>16</v>
      </c>
      <c r="H21" s="47" t="s">
        <v>17</v>
      </c>
      <c r="I21" s="47" t="s">
        <v>18</v>
      </c>
      <c r="J21" s="47" t="s">
        <v>19</v>
      </c>
    </row>
    <row r="22" spans="1:10" s="1" customFormat="1" ht="16.5" customHeight="1" x14ac:dyDescent="0.2">
      <c r="A22" s="180" t="s">
        <v>234</v>
      </c>
      <c r="B22" s="180"/>
      <c r="C22" s="180"/>
      <c r="D22" s="5"/>
      <c r="E22" s="5"/>
      <c r="F22" s="5"/>
      <c r="G22" s="5">
        <v>1</v>
      </c>
      <c r="H22" s="5"/>
      <c r="I22" s="5"/>
      <c r="J22" s="5">
        <f>((PRODUCT(D22:H22))-I22)</f>
        <v>1</v>
      </c>
    </row>
    <row r="23" spans="1:10" ht="16.5" customHeight="1" x14ac:dyDescent="0.25">
      <c r="A23" s="156" t="str">
        <f>"TOTAL - "&amp;'Plan. Orçamentária'!F14</f>
        <v>TOTAL - UN</v>
      </c>
      <c r="B23" s="156"/>
      <c r="C23" s="156"/>
      <c r="D23" s="156"/>
      <c r="E23" s="156"/>
      <c r="F23" s="156"/>
      <c r="G23" s="156"/>
      <c r="H23" s="156"/>
      <c r="I23" s="156"/>
      <c r="J23" s="41">
        <f>SUM(J22)</f>
        <v>1</v>
      </c>
    </row>
    <row r="24" spans="1:10" s="1" customFormat="1" ht="31.5" customHeight="1" x14ac:dyDescent="0.2">
      <c r="A24" s="16" t="str">
        <f>'Plan. Orçamentária'!A15</f>
        <v>2.2</v>
      </c>
      <c r="B24" s="194" t="str">
        <f>'Plan. Orçamentária'!D15</f>
        <v>Locação de banheiro químico, dimensão (110x120x230)cm, linha padrão, contendo uma (1) pia/higienizador de mãos, inclusive manutenção e mobilização/desmobilização</v>
      </c>
      <c r="C24" s="194"/>
      <c r="D24" s="194"/>
      <c r="E24" s="194"/>
      <c r="F24" s="194"/>
      <c r="G24" s="194"/>
      <c r="H24" s="194"/>
      <c r="I24" s="194"/>
      <c r="J24" s="194"/>
    </row>
    <row r="25" spans="1:10" s="1" customFormat="1" ht="16.5" customHeight="1" x14ac:dyDescent="0.2">
      <c r="A25" s="157" t="s">
        <v>12</v>
      </c>
      <c r="B25" s="157"/>
      <c r="C25" s="157"/>
      <c r="D25" s="47" t="s">
        <v>13</v>
      </c>
      <c r="E25" s="47" t="s">
        <v>14</v>
      </c>
      <c r="F25" s="47" t="s">
        <v>15</v>
      </c>
      <c r="G25" s="47" t="s">
        <v>16</v>
      </c>
      <c r="H25" s="47" t="s">
        <v>17</v>
      </c>
      <c r="I25" s="47" t="s">
        <v>18</v>
      </c>
      <c r="J25" s="47" t="s">
        <v>19</v>
      </c>
    </row>
    <row r="26" spans="1:10" s="1" customFormat="1" ht="16.5" customHeight="1" x14ac:dyDescent="0.2">
      <c r="A26" s="180" t="s">
        <v>80</v>
      </c>
      <c r="B26" s="180"/>
      <c r="C26" s="180"/>
      <c r="D26" s="5"/>
      <c r="E26" s="5"/>
      <c r="F26" s="5"/>
      <c r="G26" s="5">
        <v>3</v>
      </c>
      <c r="H26" s="5"/>
      <c r="I26" s="5"/>
      <c r="J26" s="5">
        <f>((PRODUCT(D26:H26))-I26)</f>
        <v>3</v>
      </c>
    </row>
    <row r="27" spans="1:10" ht="16.5" customHeight="1" x14ac:dyDescent="0.25">
      <c r="A27" s="156" t="str">
        <f>"TOTAL - "&amp;'Plan. Orçamentária'!F15</f>
        <v>TOTAL - MÊS</v>
      </c>
      <c r="B27" s="156"/>
      <c r="C27" s="156"/>
      <c r="D27" s="156"/>
      <c r="E27" s="156"/>
      <c r="F27" s="156"/>
      <c r="G27" s="156"/>
      <c r="H27" s="156"/>
      <c r="I27" s="156"/>
      <c r="J27" s="41">
        <f>SUM(J26)</f>
        <v>3</v>
      </c>
    </row>
    <row r="28" spans="1:10" s="1" customFormat="1" ht="37.5" customHeight="1" x14ac:dyDescent="0.2">
      <c r="A28" s="16" t="str">
        <f>'Plan. Orçamentária'!A16</f>
        <v>2.3</v>
      </c>
      <c r="B28" s="165" t="str">
        <f>'Plan. Orçamentária'!D16</f>
        <v>Locação de container com isolamento térmico, tipo 1, para escritório de obra/almoxarifado, com medidas referenciais de (6) metros de comprimentos, (2,3) metros de largura, (2,5) metros de altura útil interna, inclusive ar condicionado e ligações elétricas internas</v>
      </c>
      <c r="C28" s="165"/>
      <c r="D28" s="165"/>
      <c r="E28" s="165"/>
      <c r="F28" s="165"/>
      <c r="G28" s="165"/>
      <c r="H28" s="165"/>
      <c r="I28" s="165"/>
      <c r="J28" s="165"/>
    </row>
    <row r="29" spans="1:10" s="1" customFormat="1" ht="16.5" customHeight="1" x14ac:dyDescent="0.2">
      <c r="A29" s="157" t="s">
        <v>12</v>
      </c>
      <c r="B29" s="157"/>
      <c r="C29" s="157"/>
      <c r="D29" s="47" t="s">
        <v>13</v>
      </c>
      <c r="E29" s="47" t="s">
        <v>14</v>
      </c>
      <c r="F29" s="47" t="s">
        <v>15</v>
      </c>
      <c r="G29" s="47" t="s">
        <v>16</v>
      </c>
      <c r="H29" s="47" t="s">
        <v>17</v>
      </c>
      <c r="I29" s="47" t="s">
        <v>18</v>
      </c>
      <c r="J29" s="47" t="s">
        <v>19</v>
      </c>
    </row>
    <row r="30" spans="1:10" s="1" customFormat="1" ht="16.5" customHeight="1" x14ac:dyDescent="0.2">
      <c r="A30" s="180" t="s">
        <v>81</v>
      </c>
      <c r="B30" s="180"/>
      <c r="C30" s="180"/>
      <c r="D30" s="5"/>
      <c r="E30" s="5"/>
      <c r="F30" s="5"/>
      <c r="G30" s="5">
        <v>3</v>
      </c>
      <c r="H30" s="5"/>
      <c r="I30" s="5"/>
      <c r="J30" s="5">
        <f>((PRODUCT(D30:H30))-I30)</f>
        <v>3</v>
      </c>
    </row>
    <row r="31" spans="1:10" ht="16.5" customHeight="1" x14ac:dyDescent="0.25">
      <c r="A31" s="156" t="str">
        <f>"TOTAL - "&amp;'Plan. Orçamentária'!F16</f>
        <v>TOTAL - MÊS</v>
      </c>
      <c r="B31" s="156"/>
      <c r="C31" s="156"/>
      <c r="D31" s="156"/>
      <c r="E31" s="156"/>
      <c r="F31" s="156"/>
      <c r="G31" s="156"/>
      <c r="H31" s="156"/>
      <c r="I31" s="156"/>
      <c r="J31" s="41">
        <f>SUM(J30)</f>
        <v>3</v>
      </c>
    </row>
    <row r="32" spans="1:10" s="1" customFormat="1" ht="16.5" customHeight="1" x14ac:dyDescent="0.2">
      <c r="A32" s="16" t="str">
        <f>'Plan. Orçamentária'!A17</f>
        <v>2.4</v>
      </c>
      <c r="B32" s="165" t="str">
        <f>'Plan. Orçamentária'!D17</f>
        <v>Ligações provisórias para container tipo 1 (correspondente ao código ED-16348)</v>
      </c>
      <c r="C32" s="165"/>
      <c r="D32" s="165"/>
      <c r="E32" s="165"/>
      <c r="F32" s="165"/>
      <c r="G32" s="165"/>
      <c r="H32" s="165"/>
      <c r="I32" s="165"/>
      <c r="J32" s="165"/>
    </row>
    <row r="33" spans="1:10" s="1" customFormat="1" ht="16.5" customHeight="1" x14ac:dyDescent="0.2">
      <c r="A33" s="157" t="s">
        <v>12</v>
      </c>
      <c r="B33" s="157"/>
      <c r="C33" s="157"/>
      <c r="D33" s="47" t="s">
        <v>13</v>
      </c>
      <c r="E33" s="47" t="s">
        <v>14</v>
      </c>
      <c r="F33" s="47" t="s">
        <v>15</v>
      </c>
      <c r="G33" s="47" t="s">
        <v>16</v>
      </c>
      <c r="H33" s="47" t="s">
        <v>17</v>
      </c>
      <c r="I33" s="47" t="s">
        <v>18</v>
      </c>
      <c r="J33" s="47" t="s">
        <v>19</v>
      </c>
    </row>
    <row r="34" spans="1:10" s="1" customFormat="1" ht="25.5" customHeight="1" x14ac:dyDescent="0.2">
      <c r="A34" s="180" t="s">
        <v>82</v>
      </c>
      <c r="B34" s="180"/>
      <c r="C34" s="180"/>
      <c r="D34" s="5"/>
      <c r="E34" s="5"/>
      <c r="F34" s="5"/>
      <c r="G34" s="5">
        <v>1</v>
      </c>
      <c r="H34" s="5"/>
      <c r="I34" s="5"/>
      <c r="J34" s="5">
        <f>((PRODUCT(D34:H34))-I34)</f>
        <v>1</v>
      </c>
    </row>
    <row r="35" spans="1:10" ht="16.5" customHeight="1" x14ac:dyDescent="0.25">
      <c r="A35" s="156" t="str">
        <f>"TOTAL - "&amp;'Plan. Orçamentária'!F17</f>
        <v>TOTAL - UN</v>
      </c>
      <c r="B35" s="156"/>
      <c r="C35" s="156"/>
      <c r="D35" s="156"/>
      <c r="E35" s="156"/>
      <c r="F35" s="156"/>
      <c r="G35" s="156"/>
      <c r="H35" s="156"/>
      <c r="I35" s="156"/>
      <c r="J35" s="41">
        <f>SUM(J34)</f>
        <v>1</v>
      </c>
    </row>
    <row r="36" spans="1:10" s="1" customFormat="1" ht="16.5" customHeight="1" x14ac:dyDescent="0.2">
      <c r="A36" s="16" t="str">
        <f>'Plan. Orçamentária'!A18</f>
        <v>2.5</v>
      </c>
      <c r="B36" s="165" t="str">
        <f>'Plan. Orçamentária'!D18</f>
        <v>Mobilização e desmobilização de container, inclusive instalação e transporte com caminhão guindauto (munck)</v>
      </c>
      <c r="C36" s="165"/>
      <c r="D36" s="165"/>
      <c r="E36" s="165"/>
      <c r="F36" s="165"/>
      <c r="G36" s="165"/>
      <c r="H36" s="165"/>
      <c r="I36" s="165"/>
      <c r="J36" s="165"/>
    </row>
    <row r="37" spans="1:10" s="1" customFormat="1" ht="16.5" customHeight="1" x14ac:dyDescent="0.2">
      <c r="A37" s="157" t="s">
        <v>12</v>
      </c>
      <c r="B37" s="157"/>
      <c r="C37" s="157"/>
      <c r="D37" s="47" t="s">
        <v>13</v>
      </c>
      <c r="E37" s="47" t="s">
        <v>14</v>
      </c>
      <c r="F37" s="47" t="s">
        <v>15</v>
      </c>
      <c r="G37" s="47" t="s">
        <v>16</v>
      </c>
      <c r="H37" s="47" t="s">
        <v>17</v>
      </c>
      <c r="I37" s="47" t="s">
        <v>18</v>
      </c>
      <c r="J37" s="47" t="s">
        <v>19</v>
      </c>
    </row>
    <row r="38" spans="1:10" s="1" customFormat="1" ht="16.5" customHeight="1" x14ac:dyDescent="0.2">
      <c r="A38" s="180" t="s">
        <v>83</v>
      </c>
      <c r="B38" s="180"/>
      <c r="C38" s="180"/>
      <c r="D38" s="5"/>
      <c r="E38" s="5"/>
      <c r="F38" s="5"/>
      <c r="G38" s="5">
        <v>0.7</v>
      </c>
      <c r="H38" s="5"/>
      <c r="I38" s="5"/>
      <c r="J38" s="5">
        <f>PRODUCT(D38:I38)</f>
        <v>0.7</v>
      </c>
    </row>
    <row r="39" spans="1:10" s="1" customFormat="1" ht="16.5" customHeight="1" x14ac:dyDescent="0.2">
      <c r="A39" s="180" t="s">
        <v>84</v>
      </c>
      <c r="B39" s="180"/>
      <c r="C39" s="180"/>
      <c r="D39" s="5"/>
      <c r="E39" s="5"/>
      <c r="F39" s="5"/>
      <c r="G39" s="5">
        <v>0.3</v>
      </c>
      <c r="H39" s="5"/>
      <c r="I39" s="5"/>
      <c r="J39" s="5">
        <f>PRODUCT(D39:I39)</f>
        <v>0.3</v>
      </c>
    </row>
    <row r="40" spans="1:10" ht="16.5" customHeight="1" x14ac:dyDescent="0.25">
      <c r="A40" s="156" t="str">
        <f>"TOTAL - "&amp;'Plan. Orçamentária'!F18</f>
        <v>TOTAL - UN</v>
      </c>
      <c r="B40" s="156"/>
      <c r="C40" s="156"/>
      <c r="D40" s="156"/>
      <c r="E40" s="156"/>
      <c r="F40" s="156"/>
      <c r="G40" s="156"/>
      <c r="H40" s="156"/>
      <c r="I40" s="156"/>
      <c r="J40" s="41">
        <f>SUM(J38:J39)</f>
        <v>1</v>
      </c>
    </row>
    <row r="41" spans="1:10" ht="16.5" customHeight="1" x14ac:dyDescent="0.25">
      <c r="A41" s="48">
        <f>'Plan. Orçamentária'!A20</f>
        <v>3</v>
      </c>
      <c r="B41" s="208" t="str">
        <f>'Plan. Orçamentária'!D20</f>
        <v>ADMINISTRAÇAO LOCAL</v>
      </c>
      <c r="C41" s="208"/>
      <c r="D41" s="208"/>
      <c r="E41" s="208"/>
      <c r="F41" s="208"/>
      <c r="G41" s="208"/>
      <c r="H41" s="208"/>
      <c r="I41" s="208"/>
      <c r="J41" s="208"/>
    </row>
    <row r="42" spans="1:10" s="1" customFormat="1" ht="16.5" customHeight="1" x14ac:dyDescent="0.2">
      <c r="A42" s="16" t="str">
        <f>'Plan. Orçamentária'!A21</f>
        <v>3.1</v>
      </c>
      <c r="B42" s="194" t="str">
        <f>'Plan. Orçamentária'!D21</f>
        <v>Engenheiro/Arquiteto Junior</v>
      </c>
      <c r="C42" s="194"/>
      <c r="D42" s="194"/>
      <c r="E42" s="194"/>
      <c r="F42" s="194"/>
      <c r="G42" s="194"/>
      <c r="H42" s="194"/>
      <c r="I42" s="194"/>
      <c r="J42" s="194"/>
    </row>
    <row r="43" spans="1:10" s="1" customFormat="1" ht="25.5" x14ac:dyDescent="0.2">
      <c r="A43" s="157" t="s">
        <v>12</v>
      </c>
      <c r="B43" s="157"/>
      <c r="C43" s="157"/>
      <c r="D43" s="46" t="s">
        <v>13</v>
      </c>
      <c r="E43" s="46" t="s">
        <v>14</v>
      </c>
      <c r="F43" s="51" t="s">
        <v>86</v>
      </c>
      <c r="G43" s="51" t="s">
        <v>87</v>
      </c>
      <c r="H43" s="51" t="s">
        <v>88</v>
      </c>
      <c r="I43" s="51" t="s">
        <v>26</v>
      </c>
      <c r="J43" s="46" t="s">
        <v>19</v>
      </c>
    </row>
    <row r="44" spans="1:10" s="1" customFormat="1" ht="16.5" customHeight="1" x14ac:dyDescent="0.2">
      <c r="A44" s="180" t="s">
        <v>235</v>
      </c>
      <c r="B44" s="180"/>
      <c r="C44" s="180"/>
      <c r="D44" s="5"/>
      <c r="E44" s="5"/>
      <c r="F44" s="5">
        <v>1</v>
      </c>
      <c r="G44" s="5">
        <v>22</v>
      </c>
      <c r="H44" s="5">
        <v>3</v>
      </c>
      <c r="I44" s="5"/>
      <c r="J44" s="5">
        <f>((PRODUCT(D44:H44))-I44)</f>
        <v>66</v>
      </c>
    </row>
    <row r="45" spans="1:10" ht="16.5" customHeight="1" x14ac:dyDescent="0.25">
      <c r="A45" s="156" t="str">
        <f>"TOTAL - " &amp; "H"</f>
        <v>TOTAL - H</v>
      </c>
      <c r="B45" s="156"/>
      <c r="C45" s="156"/>
      <c r="D45" s="156"/>
      <c r="E45" s="156"/>
      <c r="F45" s="156"/>
      <c r="G45" s="156"/>
      <c r="H45" s="156"/>
      <c r="I45" s="156"/>
      <c r="J45" s="41">
        <f>SUM(J44)</f>
        <v>66</v>
      </c>
    </row>
    <row r="46" spans="1:10" s="1" customFormat="1" ht="14.25" x14ac:dyDescent="0.2">
      <c r="A46" s="16" t="str">
        <f>'Plan. Orçamentária'!A22</f>
        <v>3.2</v>
      </c>
      <c r="B46" s="194" t="str">
        <f>'Plan. Orçamentária'!D22</f>
        <v>Encarregado geral com encargos complementares</v>
      </c>
      <c r="C46" s="194"/>
      <c r="D46" s="194"/>
      <c r="E46" s="194"/>
      <c r="F46" s="194"/>
      <c r="G46" s="194"/>
      <c r="H46" s="194"/>
      <c r="I46" s="194"/>
      <c r="J46" s="194"/>
    </row>
    <row r="47" spans="1:10" s="1" customFormat="1" ht="25.5" x14ac:dyDescent="0.2">
      <c r="A47" s="157" t="s">
        <v>12</v>
      </c>
      <c r="B47" s="157"/>
      <c r="C47" s="157"/>
      <c r="D47" s="46" t="s">
        <v>13</v>
      </c>
      <c r="E47" s="46" t="s">
        <v>14</v>
      </c>
      <c r="F47" s="51" t="s">
        <v>86</v>
      </c>
      <c r="G47" s="51" t="s">
        <v>87</v>
      </c>
      <c r="H47" s="51" t="s">
        <v>88</v>
      </c>
      <c r="I47" s="51" t="s">
        <v>26</v>
      </c>
      <c r="J47" s="46" t="s">
        <v>19</v>
      </c>
    </row>
    <row r="48" spans="1:10" s="1" customFormat="1" ht="16.5" customHeight="1" x14ac:dyDescent="0.2">
      <c r="A48" s="180" t="s">
        <v>236</v>
      </c>
      <c r="B48" s="180"/>
      <c r="C48" s="180"/>
      <c r="D48" s="5"/>
      <c r="E48" s="5"/>
      <c r="F48" s="5"/>
      <c r="G48" s="5"/>
      <c r="H48" s="5">
        <v>3</v>
      </c>
      <c r="I48" s="5"/>
      <c r="J48" s="5">
        <f>((PRODUCT(D48:H48))-I48)</f>
        <v>3</v>
      </c>
    </row>
    <row r="49" spans="1:10" ht="16.5" customHeight="1" x14ac:dyDescent="0.25">
      <c r="A49" s="156" t="str">
        <f>"TOTAL - " &amp; "MÊS"</f>
        <v>TOTAL - MÊS</v>
      </c>
      <c r="B49" s="156"/>
      <c r="C49" s="156"/>
      <c r="D49" s="156"/>
      <c r="E49" s="156"/>
      <c r="F49" s="156"/>
      <c r="G49" s="156"/>
      <c r="H49" s="156"/>
      <c r="I49" s="156"/>
      <c r="J49" s="41">
        <f>SUM(J48)</f>
        <v>3</v>
      </c>
    </row>
    <row r="50" spans="1:10" s="1" customFormat="1" ht="16.5" customHeight="1" x14ac:dyDescent="0.2">
      <c r="A50" s="16" t="str">
        <f>'Plan. Orçamentária'!A23</f>
        <v>3.3</v>
      </c>
      <c r="B50" s="194" t="str">
        <f>'Plan. Orçamentária'!D23</f>
        <v>Topografo com encargos complementares</v>
      </c>
      <c r="C50" s="194"/>
      <c r="D50" s="194"/>
      <c r="E50" s="194"/>
      <c r="F50" s="194"/>
      <c r="G50" s="194"/>
      <c r="H50" s="194"/>
      <c r="I50" s="194"/>
      <c r="J50" s="194"/>
    </row>
    <row r="51" spans="1:10" s="1" customFormat="1" ht="25.5" x14ac:dyDescent="0.2">
      <c r="A51" s="157" t="s">
        <v>12</v>
      </c>
      <c r="B51" s="157"/>
      <c r="C51" s="157"/>
      <c r="D51" s="46" t="s">
        <v>13</v>
      </c>
      <c r="E51" s="46" t="s">
        <v>14</v>
      </c>
      <c r="F51" s="51" t="s">
        <v>86</v>
      </c>
      <c r="G51" s="51" t="s">
        <v>87</v>
      </c>
      <c r="H51" s="51" t="s">
        <v>88</v>
      </c>
      <c r="I51" s="51" t="s">
        <v>26</v>
      </c>
      <c r="J51" s="46" t="s">
        <v>19</v>
      </c>
    </row>
    <row r="52" spans="1:10" s="1" customFormat="1" ht="16.5" customHeight="1" x14ac:dyDescent="0.2">
      <c r="A52" s="180" t="s">
        <v>237</v>
      </c>
      <c r="B52" s="180"/>
      <c r="C52" s="180"/>
      <c r="D52" s="5"/>
      <c r="E52" s="5"/>
      <c r="F52" s="5">
        <v>0.5</v>
      </c>
      <c r="G52" s="5">
        <v>22</v>
      </c>
      <c r="H52" s="5">
        <v>3</v>
      </c>
      <c r="I52" s="5"/>
      <c r="J52" s="5">
        <f>((PRODUCT(D52:H52))-I52)</f>
        <v>33</v>
      </c>
    </row>
    <row r="53" spans="1:10" ht="16.5" customHeight="1" x14ac:dyDescent="0.25">
      <c r="A53" s="156" t="str">
        <f>"TOTAL - " &amp; "H"</f>
        <v>TOTAL - H</v>
      </c>
      <c r="B53" s="156"/>
      <c r="C53" s="156"/>
      <c r="D53" s="156"/>
      <c r="E53" s="156"/>
      <c r="F53" s="156"/>
      <c r="G53" s="156"/>
      <c r="H53" s="156"/>
      <c r="I53" s="156"/>
      <c r="J53" s="41">
        <f>SUM(J52)</f>
        <v>33</v>
      </c>
    </row>
    <row r="54" spans="1:10" s="1" customFormat="1" ht="16.5" customHeight="1" x14ac:dyDescent="0.2">
      <c r="A54" s="16" t="str">
        <f>'Plan. Orçamentária'!A24</f>
        <v>3.4</v>
      </c>
      <c r="B54" s="194" t="str">
        <f>'Plan. Orçamentária'!D24</f>
        <v>Auxiliar de topógrafo com encargos complementares</v>
      </c>
      <c r="C54" s="194"/>
      <c r="D54" s="194"/>
      <c r="E54" s="194"/>
      <c r="F54" s="194"/>
      <c r="G54" s="194"/>
      <c r="H54" s="194"/>
      <c r="I54" s="194"/>
      <c r="J54" s="194"/>
    </row>
    <row r="55" spans="1:10" s="1" customFormat="1" ht="25.5" x14ac:dyDescent="0.2">
      <c r="A55" s="157" t="s">
        <v>12</v>
      </c>
      <c r="B55" s="157"/>
      <c r="C55" s="157"/>
      <c r="D55" s="46" t="s">
        <v>13</v>
      </c>
      <c r="E55" s="46" t="s">
        <v>14</v>
      </c>
      <c r="F55" s="51" t="s">
        <v>86</v>
      </c>
      <c r="G55" s="51" t="s">
        <v>87</v>
      </c>
      <c r="H55" s="51" t="s">
        <v>88</v>
      </c>
      <c r="I55" s="51" t="s">
        <v>26</v>
      </c>
      <c r="J55" s="46" t="s">
        <v>19</v>
      </c>
    </row>
    <row r="56" spans="1:10" s="1" customFormat="1" ht="16.5" customHeight="1" x14ac:dyDescent="0.2">
      <c r="A56" s="180" t="s">
        <v>238</v>
      </c>
      <c r="B56" s="180"/>
      <c r="C56" s="180"/>
      <c r="D56" s="5"/>
      <c r="E56" s="5"/>
      <c r="F56" s="5">
        <v>0.5</v>
      </c>
      <c r="G56" s="5">
        <v>22</v>
      </c>
      <c r="H56" s="5">
        <v>3</v>
      </c>
      <c r="I56" s="5"/>
      <c r="J56" s="5">
        <f>((PRODUCT(D56:H56))-I56)</f>
        <v>33</v>
      </c>
    </row>
    <row r="57" spans="1:10" ht="16.5" customHeight="1" x14ac:dyDescent="0.25">
      <c r="A57" s="156" t="str">
        <f>"TOTAL - " &amp; "H"</f>
        <v>TOTAL - H</v>
      </c>
      <c r="B57" s="156"/>
      <c r="C57" s="156"/>
      <c r="D57" s="156"/>
      <c r="E57" s="156"/>
      <c r="F57" s="156"/>
      <c r="G57" s="156"/>
      <c r="H57" s="156"/>
      <c r="I57" s="156"/>
      <c r="J57" s="41">
        <f>SUM(J56)</f>
        <v>33</v>
      </c>
    </row>
    <row r="58" spans="1:10" ht="16.5" customHeight="1" x14ac:dyDescent="0.25">
      <c r="A58" s="48">
        <f>'Plan. Orçamentária'!A26</f>
        <v>4</v>
      </c>
      <c r="B58" s="208" t="str">
        <f>'Plan. Orçamentária'!D26</f>
        <v>SINALIZAÇÃO</v>
      </c>
      <c r="C58" s="208"/>
      <c r="D58" s="208"/>
      <c r="E58" s="208"/>
      <c r="F58" s="208"/>
      <c r="G58" s="208"/>
      <c r="H58" s="208"/>
      <c r="I58" s="208"/>
      <c r="J58" s="208"/>
    </row>
    <row r="59" spans="1:10" s="1" customFormat="1" ht="24.75" customHeight="1" x14ac:dyDescent="0.2">
      <c r="A59" s="16" t="str">
        <f>'Plan. Orçamentária'!A27</f>
        <v>4.1</v>
      </c>
      <c r="B59" s="174" t="str">
        <f>'Plan. Orçamentária'!D27</f>
        <v>Placa de aço carbono com película refletiva grau técnico tipo I da ABNT, placa retangular (execução, incluindo fornecimento e transporte de todos os materiais, inclusive poste de sustentação)</v>
      </c>
      <c r="C59" s="175"/>
      <c r="D59" s="175"/>
      <c r="E59" s="175"/>
      <c r="F59" s="175"/>
      <c r="G59" s="175"/>
      <c r="H59" s="175"/>
      <c r="I59" s="175"/>
      <c r="J59" s="176"/>
    </row>
    <row r="60" spans="1:10" s="1" customFormat="1" ht="16.5" customHeight="1" x14ac:dyDescent="0.2">
      <c r="A60" s="158" t="s">
        <v>12</v>
      </c>
      <c r="B60" s="159"/>
      <c r="C60" s="160"/>
      <c r="D60" s="47" t="s">
        <v>13</v>
      </c>
      <c r="E60" s="47" t="s">
        <v>14</v>
      </c>
      <c r="F60" s="47" t="s">
        <v>15</v>
      </c>
      <c r="G60" s="47" t="s">
        <v>16</v>
      </c>
      <c r="H60" s="47" t="s">
        <v>85</v>
      </c>
      <c r="I60" s="47" t="s">
        <v>18</v>
      </c>
      <c r="J60" s="47" t="s">
        <v>19</v>
      </c>
    </row>
    <row r="61" spans="1:10" s="1" customFormat="1" ht="16.5" customHeight="1" x14ac:dyDescent="0.2">
      <c r="A61" s="205" t="s">
        <v>239</v>
      </c>
      <c r="B61" s="206"/>
      <c r="C61" s="207"/>
      <c r="D61" s="5"/>
      <c r="E61" s="5">
        <v>0.4</v>
      </c>
      <c r="F61" s="5">
        <v>1.1000000000000001</v>
      </c>
      <c r="G61" s="5">
        <v>2</v>
      </c>
      <c r="H61" s="5"/>
      <c r="I61" s="5"/>
      <c r="J61" s="5">
        <f>((PRODUCT(D61:H61))-I61)</f>
        <v>0.88</v>
      </c>
    </row>
    <row r="62" spans="1:10" ht="16.5" customHeight="1" x14ac:dyDescent="0.25">
      <c r="A62" s="161" t="str">
        <f>"TOTAL - "&amp;'Plan. Orçamentária'!F27</f>
        <v>TOTAL - M2</v>
      </c>
      <c r="B62" s="162"/>
      <c r="C62" s="162"/>
      <c r="D62" s="162"/>
      <c r="E62" s="162"/>
      <c r="F62" s="162"/>
      <c r="G62" s="162"/>
      <c r="H62" s="162"/>
      <c r="I62" s="163"/>
      <c r="J62" s="41">
        <f>SUM(J61)</f>
        <v>0.88</v>
      </c>
    </row>
    <row r="63" spans="1:10" s="1" customFormat="1" ht="16.5" customHeight="1" x14ac:dyDescent="0.2">
      <c r="A63" s="16" t="str">
        <f>'Plan. Orçamentária'!A28</f>
        <v>4.2</v>
      </c>
      <c r="B63" s="174" t="str">
        <f>'Plan. Orçamentária'!D28</f>
        <v>Cone para sinalização/isolamento de áreas, altura 75 cm, inclusive fornecimento e movimentação</v>
      </c>
      <c r="C63" s="175"/>
      <c r="D63" s="175"/>
      <c r="E63" s="175"/>
      <c r="F63" s="175"/>
      <c r="G63" s="175"/>
      <c r="H63" s="175"/>
      <c r="I63" s="175"/>
      <c r="J63" s="176"/>
    </row>
    <row r="64" spans="1:10" s="1" customFormat="1" ht="16.5" customHeight="1" x14ac:dyDescent="0.2">
      <c r="A64" s="158" t="s">
        <v>12</v>
      </c>
      <c r="B64" s="159"/>
      <c r="C64" s="160"/>
      <c r="D64" s="47" t="s">
        <v>13</v>
      </c>
      <c r="E64" s="47" t="s">
        <v>14</v>
      </c>
      <c r="F64" s="47" t="s">
        <v>15</v>
      </c>
      <c r="G64" s="47" t="s">
        <v>16</v>
      </c>
      <c r="H64" s="47" t="s">
        <v>85</v>
      </c>
      <c r="I64" s="47" t="s">
        <v>18</v>
      </c>
      <c r="J64" s="47" t="s">
        <v>19</v>
      </c>
    </row>
    <row r="65" spans="1:10" s="1" customFormat="1" ht="16.5" customHeight="1" x14ac:dyDescent="0.2">
      <c r="A65" s="177" t="s">
        <v>222</v>
      </c>
      <c r="B65" s="177"/>
      <c r="C65" s="177"/>
      <c r="D65" s="5"/>
      <c r="E65" s="5"/>
      <c r="F65" s="5"/>
      <c r="G65" s="5">
        <v>2</v>
      </c>
      <c r="H65" s="5"/>
      <c r="I65" s="5"/>
      <c r="J65" s="5">
        <f t="shared" ref="J65:J67" si="0">PRODUCT(G65:H65)-I65</f>
        <v>2</v>
      </c>
    </row>
    <row r="66" spans="1:10" s="1" customFormat="1" ht="16.5" customHeight="1" x14ac:dyDescent="0.2">
      <c r="A66" s="177" t="s">
        <v>223</v>
      </c>
      <c r="B66" s="177"/>
      <c r="C66" s="177"/>
      <c r="D66" s="5"/>
      <c r="E66" s="5"/>
      <c r="F66" s="5"/>
      <c r="G66" s="5">
        <v>4</v>
      </c>
      <c r="H66" s="5"/>
      <c r="I66" s="5"/>
      <c r="J66" s="5">
        <f t="shared" si="0"/>
        <v>4</v>
      </c>
    </row>
    <row r="67" spans="1:10" s="1" customFormat="1" ht="16.5" customHeight="1" x14ac:dyDescent="0.2">
      <c r="A67" s="177" t="s">
        <v>224</v>
      </c>
      <c r="B67" s="177"/>
      <c r="C67" s="177"/>
      <c r="D67" s="5"/>
      <c r="E67" s="5"/>
      <c r="F67" s="5"/>
      <c r="G67" s="5">
        <v>2</v>
      </c>
      <c r="H67" s="5"/>
      <c r="I67" s="5"/>
      <c r="J67" s="5">
        <f t="shared" si="0"/>
        <v>2</v>
      </c>
    </row>
    <row r="68" spans="1:10" ht="16.5" customHeight="1" x14ac:dyDescent="0.25">
      <c r="A68" s="161" t="str">
        <f>"TOTAL - "&amp;'Plan. Orçamentária'!F28</f>
        <v>TOTAL - UN</v>
      </c>
      <c r="B68" s="162"/>
      <c r="C68" s="162"/>
      <c r="D68" s="162"/>
      <c r="E68" s="162"/>
      <c r="F68" s="162"/>
      <c r="G68" s="162"/>
      <c r="H68" s="162"/>
      <c r="I68" s="163"/>
      <c r="J68" s="41">
        <f>SUM(J65:J67)</f>
        <v>8</v>
      </c>
    </row>
    <row r="69" spans="1:10" ht="16.5" customHeight="1" x14ac:dyDescent="0.25">
      <c r="A69" s="48">
        <f>'Plan. Orçamentária'!A30</f>
        <v>5</v>
      </c>
      <c r="B69" s="208" t="str">
        <f>'Plan. Orçamentária'!D30</f>
        <v>DRENAGEM PLUVIAL</v>
      </c>
      <c r="C69" s="208"/>
      <c r="D69" s="208"/>
      <c r="E69" s="208"/>
      <c r="F69" s="208"/>
      <c r="G69" s="208"/>
      <c r="H69" s="208"/>
      <c r="I69" s="208"/>
      <c r="J69" s="208"/>
    </row>
    <row r="70" spans="1:10" ht="16.5" customHeight="1" x14ac:dyDescent="0.25">
      <c r="A70" s="16" t="str">
        <f>'Plan. Orçamentária'!A31</f>
        <v>5.1</v>
      </c>
      <c r="B70" s="155" t="str">
        <f>'Plan. Orçamentária'!D31</f>
        <v>Escavação mecanizada de vala, com profundidade até 3,00m, largura menor 0,8m em solos de 1ª categoria</v>
      </c>
      <c r="C70" s="155"/>
      <c r="D70" s="155"/>
      <c r="E70" s="155"/>
      <c r="F70" s="155"/>
      <c r="G70" s="155"/>
      <c r="H70" s="155"/>
      <c r="I70" s="155"/>
      <c r="J70" s="155"/>
    </row>
    <row r="71" spans="1:10" ht="16.5" customHeight="1" x14ac:dyDescent="0.25">
      <c r="A71" s="157" t="s">
        <v>12</v>
      </c>
      <c r="B71" s="157"/>
      <c r="C71" s="157"/>
      <c r="D71" s="46" t="s">
        <v>13</v>
      </c>
      <c r="E71" s="46" t="s">
        <v>14</v>
      </c>
      <c r="F71" s="46" t="s">
        <v>15</v>
      </c>
      <c r="G71" s="46" t="s">
        <v>126</v>
      </c>
      <c r="H71" s="46" t="s">
        <v>18</v>
      </c>
      <c r="I71" s="46" t="s">
        <v>26</v>
      </c>
      <c r="J71" s="46" t="s">
        <v>19</v>
      </c>
    </row>
    <row r="72" spans="1:10" ht="16.5" customHeight="1" x14ac:dyDescent="0.25">
      <c r="A72" s="172" t="s">
        <v>253</v>
      </c>
      <c r="B72" s="172"/>
      <c r="C72" s="172"/>
      <c r="D72" s="119"/>
      <c r="E72" s="119"/>
      <c r="F72" s="119"/>
      <c r="G72" s="119"/>
      <c r="H72" s="119"/>
      <c r="I72" s="119"/>
      <c r="J72" s="119"/>
    </row>
    <row r="73" spans="1:10" ht="16.5" customHeight="1" x14ac:dyDescent="0.25">
      <c r="A73" s="154" t="s">
        <v>241</v>
      </c>
      <c r="B73" s="154"/>
      <c r="C73" s="154"/>
      <c r="D73" s="5"/>
      <c r="E73" s="5">
        <f>0.4+0.04*2+0.11*2</f>
        <v>0.7</v>
      </c>
      <c r="F73" s="5"/>
      <c r="G73" s="5"/>
      <c r="H73" s="5">
        <v>19.05</v>
      </c>
      <c r="I73" s="5"/>
      <c r="J73" s="5">
        <f t="shared" ref="J73:J80" si="1">PRODUCT(D73:H73)-I73</f>
        <v>13.34</v>
      </c>
    </row>
    <row r="74" spans="1:10" ht="16.5" customHeight="1" x14ac:dyDescent="0.25">
      <c r="A74" s="154" t="s">
        <v>242</v>
      </c>
      <c r="B74" s="154"/>
      <c r="C74" s="154"/>
      <c r="D74" s="5"/>
      <c r="E74" s="5">
        <f t="shared" ref="E74" si="2">0.4+0.04*2+0.11*2</f>
        <v>0.7</v>
      </c>
      <c r="F74" s="5"/>
      <c r="G74" s="5"/>
      <c r="H74" s="5">
        <v>55.66</v>
      </c>
      <c r="I74" s="5"/>
      <c r="J74" s="5">
        <f t="shared" si="1"/>
        <v>38.96</v>
      </c>
    </row>
    <row r="75" spans="1:10" ht="16.5" customHeight="1" x14ac:dyDescent="0.25">
      <c r="A75" s="154" t="s">
        <v>244</v>
      </c>
      <c r="B75" s="154"/>
      <c r="C75" s="154"/>
      <c r="D75" s="5">
        <f>2.15+4.51</f>
        <v>6.66</v>
      </c>
      <c r="E75" s="5">
        <f>0.4+0.04*2+0.11*2</f>
        <v>0.7</v>
      </c>
      <c r="F75" s="5">
        <v>1.25</v>
      </c>
      <c r="G75" s="5"/>
      <c r="H75" s="5"/>
      <c r="I75" s="5"/>
      <c r="J75" s="5">
        <f t="shared" si="1"/>
        <v>5.83</v>
      </c>
    </row>
    <row r="76" spans="1:10" ht="16.5" customHeight="1" x14ac:dyDescent="0.25">
      <c r="A76" s="154" t="s">
        <v>245</v>
      </c>
      <c r="B76" s="154"/>
      <c r="C76" s="154"/>
      <c r="D76" s="5">
        <f>2.2+4.53</f>
        <v>6.73</v>
      </c>
      <c r="E76" s="5">
        <f t="shared" ref="E76:E77" si="3">0.4+0.04*2+0.11*2</f>
        <v>0.7</v>
      </c>
      <c r="F76" s="5">
        <v>1.25</v>
      </c>
      <c r="G76" s="5"/>
      <c r="H76" s="5"/>
      <c r="I76" s="5"/>
      <c r="J76" s="5">
        <f t="shared" si="1"/>
        <v>5.89</v>
      </c>
    </row>
    <row r="77" spans="1:10" ht="16.5" customHeight="1" x14ac:dyDescent="0.25">
      <c r="A77" s="154" t="s">
        <v>240</v>
      </c>
      <c r="B77" s="154"/>
      <c r="C77" s="154"/>
      <c r="D77" s="5">
        <f>3.04+5.44</f>
        <v>8.48</v>
      </c>
      <c r="E77" s="5">
        <f t="shared" si="3"/>
        <v>0.7</v>
      </c>
      <c r="F77" s="5">
        <v>1.25</v>
      </c>
      <c r="G77" s="5"/>
      <c r="H77" s="5"/>
      <c r="I77" s="5"/>
      <c r="J77" s="5">
        <f t="shared" si="1"/>
        <v>7.42</v>
      </c>
    </row>
    <row r="78" spans="1:10" ht="16.5" customHeight="1" x14ac:dyDescent="0.25">
      <c r="A78" s="172" t="s">
        <v>254</v>
      </c>
      <c r="B78" s="172"/>
      <c r="C78" s="172"/>
      <c r="D78" s="5"/>
      <c r="E78" s="5"/>
      <c r="F78" s="5"/>
      <c r="G78" s="5"/>
      <c r="H78" s="5"/>
      <c r="I78" s="5"/>
      <c r="J78" s="5"/>
    </row>
    <row r="79" spans="1:10" ht="16.5" customHeight="1" x14ac:dyDescent="0.25">
      <c r="A79" s="154" t="s">
        <v>255</v>
      </c>
      <c r="B79" s="154"/>
      <c r="C79" s="154"/>
      <c r="D79" s="5">
        <v>8.07</v>
      </c>
      <c r="E79" s="5">
        <v>0.7</v>
      </c>
      <c r="F79" s="5">
        <v>1.25</v>
      </c>
      <c r="G79" s="5"/>
      <c r="H79" s="5"/>
      <c r="I79" s="5"/>
      <c r="J79" s="5">
        <f t="shared" si="1"/>
        <v>7.06</v>
      </c>
    </row>
    <row r="80" spans="1:10" ht="16.5" customHeight="1" x14ac:dyDescent="0.25">
      <c r="A80" s="154" t="s">
        <v>256</v>
      </c>
      <c r="B80" s="154"/>
      <c r="C80" s="154"/>
      <c r="D80" s="5">
        <v>5.88</v>
      </c>
      <c r="E80" s="5">
        <v>0.7</v>
      </c>
      <c r="F80" s="5">
        <v>1.25</v>
      </c>
      <c r="G80" s="5"/>
      <c r="H80" s="5"/>
      <c r="I80" s="5"/>
      <c r="J80" s="5">
        <f t="shared" si="1"/>
        <v>5.15</v>
      </c>
    </row>
    <row r="81" spans="1:17" ht="16.5" customHeight="1" x14ac:dyDescent="0.25">
      <c r="A81" s="156" t="str">
        <f>"TOTAL - "&amp;'Plan. Orçamentária'!F31</f>
        <v>TOTAL - M3</v>
      </c>
      <c r="B81" s="156"/>
      <c r="C81" s="156"/>
      <c r="D81" s="156"/>
      <c r="E81" s="156"/>
      <c r="F81" s="156"/>
      <c r="G81" s="156"/>
      <c r="H81" s="156"/>
      <c r="I81" s="156"/>
      <c r="J81" s="41">
        <f>SUM(J73:J80)</f>
        <v>83.65</v>
      </c>
      <c r="Q81" s="12">
        <v>139.77000000000001</v>
      </c>
    </row>
    <row r="82" spans="1:17" ht="16.5" customHeight="1" x14ac:dyDescent="0.25">
      <c r="A82" s="16" t="str">
        <f>'Plan. Orçamentária'!A32</f>
        <v>5.2</v>
      </c>
      <c r="B82" s="155" t="str">
        <f>'Plan. Orçamentária'!D32</f>
        <v>Preparo do fundo de vala com largura menor que 1,5 m</v>
      </c>
      <c r="C82" s="155"/>
      <c r="D82" s="155"/>
      <c r="E82" s="155"/>
      <c r="F82" s="155"/>
      <c r="G82" s="155"/>
      <c r="H82" s="155"/>
      <c r="I82" s="155"/>
      <c r="J82" s="155"/>
    </row>
    <row r="83" spans="1:17" ht="16.5" customHeight="1" x14ac:dyDescent="0.25">
      <c r="A83" s="164" t="s">
        <v>12</v>
      </c>
      <c r="B83" s="164"/>
      <c r="C83" s="164"/>
      <c r="D83" s="46" t="s">
        <v>13</v>
      </c>
      <c r="E83" s="46" t="s">
        <v>14</v>
      </c>
      <c r="F83" s="46" t="s">
        <v>15</v>
      </c>
      <c r="G83" s="46" t="s">
        <v>16</v>
      </c>
      <c r="H83" s="46" t="s">
        <v>18</v>
      </c>
      <c r="I83" s="46" t="s">
        <v>26</v>
      </c>
      <c r="J83" s="46" t="s">
        <v>19</v>
      </c>
    </row>
    <row r="84" spans="1:17" ht="16.5" customHeight="1" x14ac:dyDescent="0.25">
      <c r="A84" s="172" t="s">
        <v>253</v>
      </c>
      <c r="B84" s="172"/>
      <c r="C84" s="172"/>
      <c r="D84" s="119"/>
      <c r="E84" s="119"/>
      <c r="F84" s="119"/>
      <c r="G84" s="119"/>
      <c r="H84" s="119"/>
      <c r="I84" s="119"/>
      <c r="J84" s="119"/>
    </row>
    <row r="85" spans="1:17" ht="16.5" customHeight="1" x14ac:dyDescent="0.25">
      <c r="A85" s="154" t="s">
        <v>241</v>
      </c>
      <c r="B85" s="154"/>
      <c r="C85" s="154"/>
      <c r="D85" s="5">
        <v>11.9</v>
      </c>
      <c r="E85" s="5">
        <f>0.4+0.04*2+0.11*2</f>
        <v>0.7</v>
      </c>
      <c r="F85" s="5"/>
      <c r="G85" s="5"/>
      <c r="H85" s="5"/>
      <c r="I85" s="5"/>
      <c r="J85" s="5">
        <f t="shared" ref="J85:J92" si="4">PRODUCT(D85:H85)-I85</f>
        <v>8.33</v>
      </c>
    </row>
    <row r="86" spans="1:17" ht="16.5" customHeight="1" x14ac:dyDescent="0.25">
      <c r="A86" s="154" t="s">
        <v>242</v>
      </c>
      <c r="B86" s="154"/>
      <c r="C86" s="154"/>
      <c r="D86" s="5">
        <v>36.51</v>
      </c>
      <c r="E86" s="5">
        <f t="shared" ref="E86" si="5">0.4+0.04*2+0.11*2</f>
        <v>0.7</v>
      </c>
      <c r="F86" s="5"/>
      <c r="G86" s="5"/>
      <c r="H86" s="5"/>
      <c r="I86" s="5"/>
      <c r="J86" s="5">
        <f t="shared" si="4"/>
        <v>25.56</v>
      </c>
    </row>
    <row r="87" spans="1:17" ht="16.5" customHeight="1" x14ac:dyDescent="0.25">
      <c r="A87" s="154" t="s">
        <v>244</v>
      </c>
      <c r="B87" s="154"/>
      <c r="C87" s="154"/>
      <c r="D87" s="5">
        <f>2.15+4.51</f>
        <v>6.66</v>
      </c>
      <c r="E87" s="5">
        <f>0.4+0.04*2+0.11*2</f>
        <v>0.7</v>
      </c>
      <c r="F87" s="5"/>
      <c r="G87" s="5"/>
      <c r="H87" s="5"/>
      <c r="I87" s="5"/>
      <c r="J87" s="5">
        <f t="shared" si="4"/>
        <v>4.66</v>
      </c>
    </row>
    <row r="88" spans="1:17" ht="16.5" customHeight="1" x14ac:dyDescent="0.25">
      <c r="A88" s="154" t="s">
        <v>245</v>
      </c>
      <c r="B88" s="154"/>
      <c r="C88" s="154"/>
      <c r="D88" s="5">
        <f>2.2+4.53</f>
        <v>6.73</v>
      </c>
      <c r="E88" s="5">
        <f t="shared" ref="E88:E89" si="6">0.4+0.04*2+0.11*2</f>
        <v>0.7</v>
      </c>
      <c r="F88" s="5"/>
      <c r="G88" s="5"/>
      <c r="H88" s="5"/>
      <c r="I88" s="5"/>
      <c r="J88" s="5">
        <f t="shared" si="4"/>
        <v>4.71</v>
      </c>
    </row>
    <row r="89" spans="1:17" ht="16.5" customHeight="1" x14ac:dyDescent="0.25">
      <c r="A89" s="154" t="s">
        <v>240</v>
      </c>
      <c r="B89" s="154"/>
      <c r="C89" s="154"/>
      <c r="D89" s="5">
        <f>3.04+5.44</f>
        <v>8.48</v>
      </c>
      <c r="E89" s="5">
        <f t="shared" si="6"/>
        <v>0.7</v>
      </c>
      <c r="F89" s="5"/>
      <c r="G89" s="5"/>
      <c r="H89" s="5"/>
      <c r="I89" s="5"/>
      <c r="J89" s="5">
        <f t="shared" si="4"/>
        <v>5.94</v>
      </c>
    </row>
    <row r="90" spans="1:17" ht="16.5" customHeight="1" x14ac:dyDescent="0.25">
      <c r="A90" s="172" t="s">
        <v>254</v>
      </c>
      <c r="B90" s="172"/>
      <c r="C90" s="172"/>
      <c r="D90" s="5"/>
      <c r="E90" s="5"/>
      <c r="F90" s="5"/>
      <c r="G90" s="5"/>
      <c r="H90" s="5"/>
      <c r="I90" s="5"/>
      <c r="J90" s="5"/>
    </row>
    <row r="91" spans="1:17" ht="16.5" customHeight="1" x14ac:dyDescent="0.25">
      <c r="A91" s="154" t="s">
        <v>255</v>
      </c>
      <c r="B91" s="154"/>
      <c r="C91" s="154"/>
      <c r="D91" s="5">
        <v>8.07</v>
      </c>
      <c r="E91" s="5">
        <v>0.7</v>
      </c>
      <c r="F91" s="5"/>
      <c r="G91" s="5"/>
      <c r="H91" s="5"/>
      <c r="I91" s="5"/>
      <c r="J91" s="5">
        <f t="shared" si="4"/>
        <v>5.65</v>
      </c>
    </row>
    <row r="92" spans="1:17" ht="16.5" customHeight="1" x14ac:dyDescent="0.25">
      <c r="A92" s="154" t="s">
        <v>256</v>
      </c>
      <c r="B92" s="154"/>
      <c r="C92" s="154"/>
      <c r="D92" s="5">
        <v>5.88</v>
      </c>
      <c r="E92" s="5">
        <v>0.7</v>
      </c>
      <c r="F92" s="5"/>
      <c r="G92" s="5"/>
      <c r="H92" s="5"/>
      <c r="I92" s="5"/>
      <c r="J92" s="5">
        <f t="shared" si="4"/>
        <v>4.12</v>
      </c>
    </row>
    <row r="93" spans="1:17" ht="16.5" customHeight="1" x14ac:dyDescent="0.25">
      <c r="A93" s="156" t="str">
        <f>"TOTAL - "&amp;'Plan. Orçamentária'!F32</f>
        <v>TOTAL - M2</v>
      </c>
      <c r="B93" s="156"/>
      <c r="C93" s="156"/>
      <c r="D93" s="156"/>
      <c r="E93" s="156"/>
      <c r="F93" s="156"/>
      <c r="G93" s="156"/>
      <c r="H93" s="156"/>
      <c r="I93" s="156"/>
      <c r="J93" s="41">
        <f>SUM(J85:J92)</f>
        <v>58.97</v>
      </c>
    </row>
    <row r="94" spans="1:17" ht="16.5" customHeight="1" x14ac:dyDescent="0.25">
      <c r="A94" s="16" t="str">
        <f>'Plan. Orçamentária'!A33</f>
        <v>5.3</v>
      </c>
      <c r="B94" s="155" t="str">
        <f>'Plan. Orçamentária'!D33</f>
        <v>Tubo de concreto armado PA1, DN 400mm, junta rígida tipo ponta e bolsa, incluindo fornecimento, assentamento e rejuntamento</v>
      </c>
      <c r="C94" s="155"/>
      <c r="D94" s="155"/>
      <c r="E94" s="155"/>
      <c r="F94" s="155"/>
      <c r="G94" s="155"/>
      <c r="H94" s="155"/>
      <c r="I94" s="155"/>
      <c r="J94" s="155"/>
    </row>
    <row r="95" spans="1:17" ht="16.5" customHeight="1" x14ac:dyDescent="0.25">
      <c r="A95" s="164" t="s">
        <v>12</v>
      </c>
      <c r="B95" s="164"/>
      <c r="C95" s="164"/>
      <c r="D95" s="46" t="s">
        <v>13</v>
      </c>
      <c r="E95" s="46" t="s">
        <v>14</v>
      </c>
      <c r="F95" s="46" t="s">
        <v>15</v>
      </c>
      <c r="G95" s="46" t="s">
        <v>16</v>
      </c>
      <c r="H95" s="46" t="s">
        <v>18</v>
      </c>
      <c r="I95" s="46" t="s">
        <v>26</v>
      </c>
      <c r="J95" s="46" t="s">
        <v>19</v>
      </c>
    </row>
    <row r="96" spans="1:17" ht="16.5" customHeight="1" x14ac:dyDescent="0.25">
      <c r="A96" s="172" t="s">
        <v>253</v>
      </c>
      <c r="B96" s="172"/>
      <c r="C96" s="172"/>
      <c r="D96" s="119"/>
      <c r="E96" s="119"/>
      <c r="F96" s="119"/>
      <c r="G96" s="119"/>
      <c r="H96" s="119"/>
      <c r="I96" s="119"/>
      <c r="J96" s="119"/>
    </row>
    <row r="97" spans="1:14" ht="16.5" customHeight="1" x14ac:dyDescent="0.25">
      <c r="A97" s="154" t="s">
        <v>241</v>
      </c>
      <c r="B97" s="154"/>
      <c r="C97" s="154"/>
      <c r="D97" s="5">
        <v>11.9</v>
      </c>
      <c r="E97" s="5"/>
      <c r="F97" s="5"/>
      <c r="G97" s="5"/>
      <c r="H97" s="5"/>
      <c r="I97" s="5"/>
      <c r="J97" s="5">
        <f t="shared" ref="J97:J104" si="7">PRODUCT(D97:H97)-I97</f>
        <v>11.9</v>
      </c>
    </row>
    <row r="98" spans="1:14" ht="16.5" customHeight="1" x14ac:dyDescent="0.25">
      <c r="A98" s="154" t="s">
        <v>242</v>
      </c>
      <c r="B98" s="154"/>
      <c r="C98" s="154"/>
      <c r="D98" s="5">
        <v>36.51</v>
      </c>
      <c r="E98" s="5"/>
      <c r="F98" s="5"/>
      <c r="G98" s="5"/>
      <c r="H98" s="5"/>
      <c r="I98" s="5"/>
      <c r="J98" s="5">
        <f t="shared" si="7"/>
        <v>36.51</v>
      </c>
    </row>
    <row r="99" spans="1:14" ht="16.5" customHeight="1" x14ac:dyDescent="0.25">
      <c r="A99" s="154" t="s">
        <v>244</v>
      </c>
      <c r="B99" s="154"/>
      <c r="C99" s="154"/>
      <c r="D99" s="5">
        <f>2.15+4.51</f>
        <v>6.66</v>
      </c>
      <c r="E99" s="5"/>
      <c r="F99" s="5"/>
      <c r="G99" s="5"/>
      <c r="H99" s="5"/>
      <c r="I99" s="5"/>
      <c r="J99" s="5">
        <f t="shared" si="7"/>
        <v>6.66</v>
      </c>
    </row>
    <row r="100" spans="1:14" ht="16.5" customHeight="1" x14ac:dyDescent="0.25">
      <c r="A100" s="154" t="s">
        <v>245</v>
      </c>
      <c r="B100" s="154"/>
      <c r="C100" s="154"/>
      <c r="D100" s="5">
        <f>2.2+4.53</f>
        <v>6.73</v>
      </c>
      <c r="E100" s="5"/>
      <c r="F100" s="5"/>
      <c r="G100" s="5"/>
      <c r="H100" s="5"/>
      <c r="I100" s="5"/>
      <c r="J100" s="5">
        <f t="shared" si="7"/>
        <v>6.73</v>
      </c>
    </row>
    <row r="101" spans="1:14" ht="16.5" customHeight="1" x14ac:dyDescent="0.25">
      <c r="A101" s="154" t="s">
        <v>240</v>
      </c>
      <c r="B101" s="154"/>
      <c r="C101" s="154"/>
      <c r="D101" s="5">
        <f>3.04+5.44</f>
        <v>8.48</v>
      </c>
      <c r="E101" s="5"/>
      <c r="F101" s="5"/>
      <c r="G101" s="5"/>
      <c r="H101" s="5"/>
      <c r="I101" s="5"/>
      <c r="J101" s="5">
        <f t="shared" si="7"/>
        <v>8.48</v>
      </c>
    </row>
    <row r="102" spans="1:14" ht="16.5" customHeight="1" x14ac:dyDescent="0.25">
      <c r="A102" s="172" t="s">
        <v>254</v>
      </c>
      <c r="B102" s="172"/>
      <c r="C102" s="172"/>
      <c r="D102" s="5"/>
      <c r="E102" s="5"/>
      <c r="F102" s="5"/>
      <c r="G102" s="5"/>
      <c r="H102" s="5"/>
      <c r="I102" s="5"/>
      <c r="J102" s="5"/>
    </row>
    <row r="103" spans="1:14" ht="16.5" customHeight="1" x14ac:dyDescent="0.25">
      <c r="A103" s="154" t="s">
        <v>255</v>
      </c>
      <c r="B103" s="154"/>
      <c r="C103" s="154"/>
      <c r="D103" s="5">
        <v>8.07</v>
      </c>
      <c r="E103" s="5"/>
      <c r="F103" s="5"/>
      <c r="G103" s="5"/>
      <c r="H103" s="5"/>
      <c r="I103" s="5"/>
      <c r="J103" s="5">
        <f t="shared" si="7"/>
        <v>8.07</v>
      </c>
    </row>
    <row r="104" spans="1:14" ht="16.5" customHeight="1" x14ac:dyDescent="0.25">
      <c r="A104" s="154" t="s">
        <v>256</v>
      </c>
      <c r="B104" s="154"/>
      <c r="C104" s="154"/>
      <c r="D104" s="5">
        <v>5.88</v>
      </c>
      <c r="E104" s="5"/>
      <c r="F104" s="5"/>
      <c r="G104" s="5"/>
      <c r="H104" s="5"/>
      <c r="I104" s="5"/>
      <c r="J104" s="5">
        <f t="shared" si="7"/>
        <v>5.88</v>
      </c>
    </row>
    <row r="105" spans="1:14" ht="16.5" customHeight="1" x14ac:dyDescent="0.25">
      <c r="A105" s="156" t="str">
        <f>"TOTAL - "&amp;'Plan. Orçamentária'!F33</f>
        <v>TOTAL - M</v>
      </c>
      <c r="B105" s="156"/>
      <c r="C105" s="156"/>
      <c r="D105" s="156"/>
      <c r="E105" s="156"/>
      <c r="F105" s="156"/>
      <c r="G105" s="156"/>
      <c r="H105" s="156"/>
      <c r="I105" s="156"/>
      <c r="J105" s="105">
        <f>SUM(J97:J104)</f>
        <v>84.23</v>
      </c>
    </row>
    <row r="106" spans="1:14" ht="16.5" customHeight="1" x14ac:dyDescent="0.25">
      <c r="A106" s="16" t="str">
        <f>'Plan. Orçamentária'!A34</f>
        <v>5.5</v>
      </c>
      <c r="B106" s="155" t="str">
        <f>'Plan. Orçamentária'!D34</f>
        <v>Reaterro de vala com compactação mecânica através de placa vibratória</v>
      </c>
      <c r="C106" s="155"/>
      <c r="D106" s="155"/>
      <c r="E106" s="155"/>
      <c r="F106" s="155"/>
      <c r="G106" s="155"/>
      <c r="H106" s="155"/>
      <c r="I106" s="155"/>
      <c r="J106" s="155"/>
    </row>
    <row r="107" spans="1:14" ht="25.5" customHeight="1" x14ac:dyDescent="0.25">
      <c r="A107" s="164" t="s">
        <v>12</v>
      </c>
      <c r="B107" s="164"/>
      <c r="C107" s="164"/>
      <c r="D107" s="164" t="s">
        <v>134</v>
      </c>
      <c r="E107" s="164"/>
      <c r="F107" s="164"/>
      <c r="G107" s="164" t="s">
        <v>135</v>
      </c>
      <c r="H107" s="152" t="s">
        <v>18</v>
      </c>
      <c r="I107" s="164" t="s">
        <v>26</v>
      </c>
      <c r="J107" s="164" t="s">
        <v>19</v>
      </c>
    </row>
    <row r="108" spans="1:14" ht="25.5" customHeight="1" x14ac:dyDescent="0.25">
      <c r="A108" s="164"/>
      <c r="B108" s="164"/>
      <c r="C108" s="164"/>
      <c r="D108" s="112" t="s">
        <v>13</v>
      </c>
      <c r="E108" s="112" t="s">
        <v>243</v>
      </c>
      <c r="F108" s="112" t="s">
        <v>136</v>
      </c>
      <c r="G108" s="164"/>
      <c r="H108" s="153"/>
      <c r="I108" s="164"/>
      <c r="J108" s="164"/>
    </row>
    <row r="109" spans="1:14" ht="16.5" customHeight="1" x14ac:dyDescent="0.25">
      <c r="A109" s="172" t="s">
        <v>253</v>
      </c>
      <c r="B109" s="172"/>
      <c r="C109" s="172"/>
      <c r="D109" s="5"/>
      <c r="E109" s="5"/>
      <c r="F109" s="5"/>
      <c r="G109" s="5"/>
      <c r="H109" s="5"/>
      <c r="I109" s="5"/>
      <c r="J109" s="5"/>
    </row>
    <row r="110" spans="1:14" ht="16.5" customHeight="1" x14ac:dyDescent="0.25">
      <c r="A110" s="149" t="s">
        <v>241</v>
      </c>
      <c r="B110" s="150"/>
      <c r="C110" s="151"/>
      <c r="D110" s="5">
        <v>11.9</v>
      </c>
      <c r="E110" s="114">
        <f>(((0.48*0.48)*3.14)/4)</f>
        <v>0.18085999999999999</v>
      </c>
      <c r="F110" s="52">
        <f>D110*E110</f>
        <v>2.1520000000000001</v>
      </c>
      <c r="G110" s="184">
        <f>SUM(J73:J77)</f>
        <v>71.44</v>
      </c>
      <c r="H110" s="173"/>
      <c r="I110" s="173"/>
      <c r="J110" s="173">
        <f>G110-F115</f>
        <v>58.73</v>
      </c>
      <c r="L110" s="54"/>
      <c r="N110" s="54"/>
    </row>
    <row r="111" spans="1:14" ht="16.5" customHeight="1" x14ac:dyDescent="0.25">
      <c r="A111" s="149" t="s">
        <v>242</v>
      </c>
      <c r="B111" s="150"/>
      <c r="C111" s="151"/>
      <c r="D111" s="5">
        <v>36.51</v>
      </c>
      <c r="E111" s="114">
        <f t="shared" ref="E111:E114" si="8">(((0.48*0.48)*3.14)/4)</f>
        <v>0.18085999999999999</v>
      </c>
      <c r="F111" s="52">
        <f t="shared" ref="F111:F114" si="9">D111*E111</f>
        <v>6.6029999999999998</v>
      </c>
      <c r="G111" s="185"/>
      <c r="H111" s="173"/>
      <c r="I111" s="173"/>
      <c r="J111" s="173"/>
      <c r="L111" s="54"/>
      <c r="N111" s="54"/>
    </row>
    <row r="112" spans="1:14" ht="16.5" customHeight="1" x14ac:dyDescent="0.25">
      <c r="A112" s="149" t="s">
        <v>244</v>
      </c>
      <c r="B112" s="150"/>
      <c r="C112" s="151"/>
      <c r="D112" s="5">
        <f>2.15+4.51</f>
        <v>6.66</v>
      </c>
      <c r="E112" s="114">
        <f t="shared" si="8"/>
        <v>0.18085999999999999</v>
      </c>
      <c r="F112" s="52">
        <f t="shared" si="9"/>
        <v>1.2050000000000001</v>
      </c>
      <c r="G112" s="185"/>
      <c r="H112" s="173"/>
      <c r="I112" s="173"/>
      <c r="J112" s="173"/>
      <c r="L112" s="54"/>
      <c r="N112" s="54"/>
    </row>
    <row r="113" spans="1:14" ht="16.5" customHeight="1" x14ac:dyDescent="0.25">
      <c r="A113" s="149" t="s">
        <v>245</v>
      </c>
      <c r="B113" s="150"/>
      <c r="C113" s="151"/>
      <c r="D113" s="5">
        <f>2.2+4.53</f>
        <v>6.73</v>
      </c>
      <c r="E113" s="114">
        <f t="shared" si="8"/>
        <v>0.18085999999999999</v>
      </c>
      <c r="F113" s="52">
        <f t="shared" si="9"/>
        <v>1.2170000000000001</v>
      </c>
      <c r="G113" s="185"/>
      <c r="H113" s="173"/>
      <c r="I113" s="173"/>
      <c r="J113" s="173"/>
      <c r="L113" s="54"/>
      <c r="N113" s="54"/>
    </row>
    <row r="114" spans="1:14" ht="16.5" customHeight="1" x14ac:dyDescent="0.25">
      <c r="A114" s="149" t="s">
        <v>240</v>
      </c>
      <c r="B114" s="150"/>
      <c r="C114" s="151"/>
      <c r="D114" s="5">
        <f>3.04+5.44</f>
        <v>8.48</v>
      </c>
      <c r="E114" s="114">
        <f t="shared" si="8"/>
        <v>0.18085999999999999</v>
      </c>
      <c r="F114" s="52">
        <f t="shared" si="9"/>
        <v>1.534</v>
      </c>
      <c r="G114" s="185"/>
      <c r="H114" s="173"/>
      <c r="I114" s="173"/>
      <c r="J114" s="173"/>
      <c r="L114" s="54"/>
      <c r="N114" s="54"/>
    </row>
    <row r="115" spans="1:14" ht="16.5" customHeight="1" x14ac:dyDescent="0.25">
      <c r="A115" s="181" t="s">
        <v>137</v>
      </c>
      <c r="B115" s="182"/>
      <c r="C115" s="182"/>
      <c r="D115" s="182"/>
      <c r="E115" s="183"/>
      <c r="F115" s="113">
        <f>SUM(F110:F114)</f>
        <v>12.71</v>
      </c>
      <c r="G115" s="186"/>
      <c r="H115" s="173"/>
      <c r="I115" s="173"/>
      <c r="J115" s="173"/>
    </row>
    <row r="116" spans="1:14" ht="16.5" customHeight="1" x14ac:dyDescent="0.25">
      <c r="A116" s="172" t="s">
        <v>254</v>
      </c>
      <c r="B116" s="172"/>
      <c r="C116" s="172"/>
      <c r="D116" s="120"/>
      <c r="E116" s="120"/>
      <c r="F116" s="113"/>
      <c r="G116" s="117"/>
      <c r="H116" s="116"/>
      <c r="I116" s="116"/>
      <c r="J116" s="116"/>
    </row>
    <row r="117" spans="1:14" ht="16.5" customHeight="1" x14ac:dyDescent="0.25">
      <c r="A117" s="154" t="s">
        <v>255</v>
      </c>
      <c r="B117" s="154"/>
      <c r="C117" s="154"/>
      <c r="D117" s="5">
        <v>8.07</v>
      </c>
      <c r="E117" s="114">
        <f>(((0.48*0.48)*3.14)/4)</f>
        <v>0.18085999999999999</v>
      </c>
      <c r="F117" s="5">
        <f>D117*E117</f>
        <v>1.46</v>
      </c>
      <c r="G117" s="169">
        <f>SUM(J79:J80)</f>
        <v>12.21</v>
      </c>
      <c r="H117" s="169"/>
      <c r="I117" s="169"/>
      <c r="J117" s="209">
        <f>G117-F119</f>
        <v>9.69</v>
      </c>
    </row>
    <row r="118" spans="1:14" ht="16.5" customHeight="1" x14ac:dyDescent="0.25">
      <c r="A118" s="154" t="s">
        <v>256</v>
      </c>
      <c r="B118" s="154"/>
      <c r="C118" s="154"/>
      <c r="D118" s="5">
        <v>5.88</v>
      </c>
      <c r="E118" s="114">
        <f>(((0.48*0.48)*3.14)/4)</f>
        <v>0.18085999999999999</v>
      </c>
      <c r="F118" s="5">
        <f>D118*E118</f>
        <v>1.06</v>
      </c>
      <c r="G118" s="170"/>
      <c r="H118" s="170"/>
      <c r="I118" s="170"/>
      <c r="J118" s="210"/>
    </row>
    <row r="119" spans="1:14" ht="16.5" customHeight="1" x14ac:dyDescent="0.25">
      <c r="A119" s="181" t="s">
        <v>137</v>
      </c>
      <c r="B119" s="182"/>
      <c r="C119" s="182"/>
      <c r="D119" s="182"/>
      <c r="E119" s="183"/>
      <c r="F119" s="5">
        <f>SUM(F117:F118)</f>
        <v>2.52</v>
      </c>
      <c r="G119" s="171"/>
      <c r="H119" s="171"/>
      <c r="I119" s="171"/>
      <c r="J119" s="211"/>
    </row>
    <row r="120" spans="1:14" ht="16.5" customHeight="1" x14ac:dyDescent="0.25">
      <c r="A120" s="156" t="str">
        <f>"TOTAL - "&amp;'Plan. Orçamentária'!F34</f>
        <v>TOTAL - M3</v>
      </c>
      <c r="B120" s="156"/>
      <c r="C120" s="156"/>
      <c r="D120" s="156"/>
      <c r="E120" s="156"/>
      <c r="F120" s="156"/>
      <c r="G120" s="156"/>
      <c r="H120" s="156"/>
      <c r="I120" s="156"/>
      <c r="J120" s="41">
        <f>SUM(J110:J119)</f>
        <v>68.42</v>
      </c>
    </row>
    <row r="121" spans="1:14" ht="16.5" customHeight="1" x14ac:dyDescent="0.25">
      <c r="A121" s="16" t="str">
        <f>'Plan. Orçamentária'!A35</f>
        <v>5.6</v>
      </c>
      <c r="B121" s="155" t="str">
        <f>'Plan. Orçamentária'!D35</f>
        <v>Poço de visita para drenagem pluvial em alvenaria de blocos de concreto, cheios em concreto Fck ≥ 20MPa, dimensões internas de 100X100cm, altura de 150 cm a 300 cm (varíável de acordo com perfil da rede), para rede DN 400mm e DN600mm, com tampa de concreto armado e reboco interno, incluindo escavação e reaterro compactado, conforme projeto</v>
      </c>
      <c r="C121" s="155"/>
      <c r="D121" s="155"/>
      <c r="E121" s="155"/>
      <c r="F121" s="155"/>
      <c r="G121" s="155"/>
      <c r="H121" s="155"/>
      <c r="I121" s="155"/>
      <c r="J121" s="155"/>
    </row>
    <row r="122" spans="1:14" ht="25.5" customHeight="1" x14ac:dyDescent="0.25">
      <c r="A122" s="157" t="s">
        <v>12</v>
      </c>
      <c r="B122" s="157"/>
      <c r="C122" s="157"/>
      <c r="D122" s="79" t="s">
        <v>13</v>
      </c>
      <c r="E122" s="79" t="s">
        <v>14</v>
      </c>
      <c r="F122" s="79" t="s">
        <v>15</v>
      </c>
      <c r="G122" s="79" t="s">
        <v>16</v>
      </c>
      <c r="H122" s="79" t="s">
        <v>18</v>
      </c>
      <c r="I122" s="79" t="s">
        <v>26</v>
      </c>
      <c r="J122" s="77" t="s">
        <v>46</v>
      </c>
    </row>
    <row r="123" spans="1:14" ht="16.5" customHeight="1" x14ac:dyDescent="0.25">
      <c r="A123" s="154" t="s">
        <v>246</v>
      </c>
      <c r="B123" s="154"/>
      <c r="C123" s="154"/>
      <c r="D123" s="5"/>
      <c r="E123" s="5"/>
      <c r="F123" s="52"/>
      <c r="G123" s="5">
        <v>1</v>
      </c>
      <c r="H123" s="76"/>
      <c r="I123" s="76"/>
      <c r="J123" s="76">
        <f>PRODUCT(D123:H123)-I123</f>
        <v>1</v>
      </c>
      <c r="L123" s="54"/>
      <c r="N123" s="54"/>
    </row>
    <row r="124" spans="1:14" ht="16.5" customHeight="1" x14ac:dyDescent="0.25">
      <c r="A124" s="154" t="s">
        <v>247</v>
      </c>
      <c r="B124" s="154"/>
      <c r="C124" s="154"/>
      <c r="D124" s="5"/>
      <c r="E124" s="5"/>
      <c r="F124" s="52"/>
      <c r="G124" s="5">
        <v>1</v>
      </c>
      <c r="H124" s="106"/>
      <c r="I124" s="106"/>
      <c r="J124" s="106">
        <f>PRODUCT(D124:H124)-I124</f>
        <v>1</v>
      </c>
      <c r="L124" s="54"/>
      <c r="N124" s="54"/>
    </row>
    <row r="125" spans="1:14" ht="16.5" customHeight="1" x14ac:dyDescent="0.25">
      <c r="A125" s="156" t="str">
        <f>"TOTAL - "&amp;'Plan. Orçamentária'!F46</f>
        <v>TOTAL - M2</v>
      </c>
      <c r="B125" s="156"/>
      <c r="C125" s="156"/>
      <c r="D125" s="156"/>
      <c r="E125" s="156"/>
      <c r="F125" s="156"/>
      <c r="G125" s="156"/>
      <c r="H125" s="156"/>
      <c r="I125" s="156"/>
      <c r="J125" s="41">
        <f>SUM(J123:J124)</f>
        <v>2</v>
      </c>
    </row>
    <row r="126" spans="1:14" s="75" customFormat="1" ht="25.5" customHeight="1" x14ac:dyDescent="0.25">
      <c r="A126" s="82" t="str">
        <f>'Plan. Orçamentária'!A36</f>
        <v>5.7</v>
      </c>
      <c r="B126" s="174" t="str">
        <f>'Plan. Orçamentária'!D36</f>
        <v>Caixa de passagem para drenagem pluvial, em alvenaria de blocos de concreto, cheios em concreto Fck ≥ 20MPa, dimensões internas de 100X100cm, altura ≤ 250cm, para rede DN 400mm e DN600mm, com tampa de concreto armado e reboco interno, incluindo escavação e reaterro compactado, conforme projeto</v>
      </c>
      <c r="C126" s="175"/>
      <c r="D126" s="175"/>
      <c r="E126" s="175"/>
      <c r="F126" s="175"/>
      <c r="G126" s="175"/>
      <c r="H126" s="175"/>
      <c r="I126" s="175"/>
      <c r="J126" s="176"/>
    </row>
    <row r="127" spans="1:14" s="75" customFormat="1" ht="16.5" customHeight="1" x14ac:dyDescent="0.25">
      <c r="A127" s="178" t="s">
        <v>12</v>
      </c>
      <c r="B127" s="178"/>
      <c r="C127" s="178"/>
      <c r="D127" s="97" t="s">
        <v>13</v>
      </c>
      <c r="E127" s="97" t="s">
        <v>14</v>
      </c>
      <c r="F127" s="97" t="s">
        <v>15</v>
      </c>
      <c r="G127" s="97" t="s">
        <v>118</v>
      </c>
      <c r="H127" s="97" t="s">
        <v>194</v>
      </c>
      <c r="I127" s="97" t="s">
        <v>18</v>
      </c>
      <c r="J127" s="97" t="s">
        <v>19</v>
      </c>
    </row>
    <row r="128" spans="1:14" s="75" customFormat="1" ht="16.5" customHeight="1" x14ac:dyDescent="0.25">
      <c r="A128" s="179" t="s">
        <v>248</v>
      </c>
      <c r="B128" s="179"/>
      <c r="C128" s="179"/>
      <c r="D128" s="101"/>
      <c r="E128" s="101"/>
      <c r="F128" s="101"/>
      <c r="G128" s="101">
        <v>1</v>
      </c>
      <c r="H128" s="101"/>
      <c r="I128" s="101"/>
      <c r="J128" s="101">
        <f>PRODUCT(D128:I128)</f>
        <v>1</v>
      </c>
    </row>
    <row r="129" spans="1:10" s="75" customFormat="1" ht="16.5" customHeight="1" x14ac:dyDescent="0.25">
      <c r="A129" s="178" t="str">
        <f>"TOTAL - "&amp;'[2]Planilha orçamentária'!F47</f>
        <v>TOTAL - UN</v>
      </c>
      <c r="B129" s="178"/>
      <c r="C129" s="178"/>
      <c r="D129" s="178"/>
      <c r="E129" s="178"/>
      <c r="F129" s="178"/>
      <c r="G129" s="178"/>
      <c r="H129" s="178"/>
      <c r="I129" s="178"/>
      <c r="J129" s="102">
        <f>SUM(J128:J128)</f>
        <v>1</v>
      </c>
    </row>
    <row r="130" spans="1:10" ht="38.25" customHeight="1" x14ac:dyDescent="0.25">
      <c r="A130" s="16" t="str">
        <f>'Plan. Orçamentária'!A37</f>
        <v>5.8</v>
      </c>
      <c r="B130" s="165" t="str">
        <f>'Plan. Orçamentária'!D37</f>
        <v>Boca de lobo simples, dimensões internas de 85x28x100cm (comp. x larg. x alt.) em alvenaria de blocos de concreto, cheios em concreto Fck ≥ 20MPa, sobre lastro de concreto 10cm, incluindo escavação e reaterro compactado, conforme projeto. Inclusive reboco para alvenaria interna, grelha GR 95 ferro fundido, cantoneira e bota fora (Tipo A - ferro fundido)</v>
      </c>
      <c r="C130" s="165"/>
      <c r="D130" s="165"/>
      <c r="E130" s="165"/>
      <c r="F130" s="165"/>
      <c r="G130" s="165"/>
      <c r="H130" s="165"/>
      <c r="I130" s="165"/>
      <c r="J130" s="165"/>
    </row>
    <row r="131" spans="1:10" ht="16.5" customHeight="1" x14ac:dyDescent="0.25">
      <c r="A131" s="164" t="s">
        <v>12</v>
      </c>
      <c r="B131" s="164"/>
      <c r="C131" s="164"/>
      <c r="D131" s="46" t="s">
        <v>13</v>
      </c>
      <c r="E131" s="46" t="s">
        <v>14</v>
      </c>
      <c r="F131" s="46" t="s">
        <v>15</v>
      </c>
      <c r="G131" s="46" t="s">
        <v>16</v>
      </c>
      <c r="H131" s="46" t="s">
        <v>18</v>
      </c>
      <c r="I131" s="46" t="s">
        <v>26</v>
      </c>
      <c r="J131" s="46" t="s">
        <v>19</v>
      </c>
    </row>
    <row r="132" spans="1:10" ht="16.5" customHeight="1" x14ac:dyDescent="0.25">
      <c r="A132" s="172" t="s">
        <v>253</v>
      </c>
      <c r="B132" s="172"/>
      <c r="C132" s="172"/>
      <c r="D132" s="5"/>
      <c r="E132" s="5"/>
      <c r="F132" s="5"/>
      <c r="G132" s="5"/>
      <c r="H132" s="5"/>
      <c r="I132" s="5"/>
      <c r="J132" s="5"/>
    </row>
    <row r="133" spans="1:10" ht="16.5" customHeight="1" x14ac:dyDescent="0.25">
      <c r="A133" s="154" t="s">
        <v>249</v>
      </c>
      <c r="B133" s="154"/>
      <c r="C133" s="154"/>
      <c r="D133" s="5"/>
      <c r="E133" s="5"/>
      <c r="F133" s="5"/>
      <c r="G133" s="5">
        <v>6</v>
      </c>
      <c r="H133" s="5"/>
      <c r="I133" s="5"/>
      <c r="J133" s="101">
        <f>PRODUCT(D133:I133)</f>
        <v>6</v>
      </c>
    </row>
    <row r="134" spans="1:10" ht="16.5" customHeight="1" x14ac:dyDescent="0.25">
      <c r="A134" s="172" t="s">
        <v>254</v>
      </c>
      <c r="B134" s="172"/>
      <c r="C134" s="172"/>
      <c r="D134" s="5"/>
      <c r="E134" s="5"/>
      <c r="F134" s="5"/>
      <c r="G134" s="5"/>
      <c r="H134" s="5"/>
      <c r="I134" s="5"/>
      <c r="J134" s="5"/>
    </row>
    <row r="135" spans="1:10" ht="16.5" customHeight="1" x14ac:dyDescent="0.25">
      <c r="A135" s="154" t="s">
        <v>257</v>
      </c>
      <c r="B135" s="154"/>
      <c r="C135" s="154"/>
      <c r="D135" s="5"/>
      <c r="E135" s="5"/>
      <c r="F135" s="5"/>
      <c r="G135" s="5">
        <v>1</v>
      </c>
      <c r="H135" s="5"/>
      <c r="I135" s="5"/>
      <c r="J135" s="101">
        <f>PRODUCT(D135:I135)</f>
        <v>1</v>
      </c>
    </row>
    <row r="136" spans="1:10" ht="16.5" customHeight="1" x14ac:dyDescent="0.25">
      <c r="A136" s="154" t="s">
        <v>258</v>
      </c>
      <c r="B136" s="154"/>
      <c r="C136" s="154"/>
      <c r="D136" s="5"/>
      <c r="E136" s="5"/>
      <c r="F136" s="5"/>
      <c r="G136" s="5">
        <v>1</v>
      </c>
      <c r="H136" s="5"/>
      <c r="I136" s="5"/>
      <c r="J136" s="101">
        <f>PRODUCT(D136:I136)</f>
        <v>1</v>
      </c>
    </row>
    <row r="137" spans="1:10" ht="16.5" customHeight="1" x14ac:dyDescent="0.25">
      <c r="A137" s="156" t="str">
        <f>"TOTAL - "&amp;'Plan. Orçamentária'!F37</f>
        <v>TOTAL - UN</v>
      </c>
      <c r="B137" s="156"/>
      <c r="C137" s="156"/>
      <c r="D137" s="156"/>
      <c r="E137" s="156"/>
      <c r="F137" s="156"/>
      <c r="G137" s="156"/>
      <c r="H137" s="156"/>
      <c r="I137" s="156"/>
      <c r="J137" s="41">
        <f>SUM(J132:J136)</f>
        <v>8</v>
      </c>
    </row>
    <row r="138" spans="1:10" ht="16.5" customHeight="1" x14ac:dyDescent="0.25">
      <c r="A138" s="48">
        <f>'Plan. Orçamentária'!A39</f>
        <v>6</v>
      </c>
      <c r="B138" s="208" t="str">
        <f>'Plan. Orçamentária'!D39</f>
        <v>PAVIMENTAÇÃO</v>
      </c>
      <c r="C138" s="208"/>
      <c r="D138" s="208"/>
      <c r="E138" s="208"/>
      <c r="F138" s="208"/>
      <c r="G138" s="208"/>
      <c r="H138" s="208"/>
      <c r="I138" s="208"/>
      <c r="J138" s="208"/>
    </row>
    <row r="139" spans="1:10" ht="16.5" customHeight="1" x14ac:dyDescent="0.25">
      <c r="A139" s="16" t="str">
        <f>'Plan. Orçamentária'!A40</f>
        <v>6.1</v>
      </c>
      <c r="B139" s="165" t="str">
        <f>'Plan. Orçamentária'!D40</f>
        <v>Demolição manual de pavimento poliédrica, inclusive afastamento</v>
      </c>
      <c r="C139" s="165"/>
      <c r="D139" s="165"/>
      <c r="E139" s="165"/>
      <c r="F139" s="165"/>
      <c r="G139" s="165"/>
      <c r="H139" s="165"/>
      <c r="I139" s="165"/>
      <c r="J139" s="165"/>
    </row>
    <row r="140" spans="1:10" ht="16.5" customHeight="1" x14ac:dyDescent="0.25">
      <c r="A140" s="164" t="s">
        <v>12</v>
      </c>
      <c r="B140" s="164"/>
      <c r="C140" s="164"/>
      <c r="D140" s="46" t="s">
        <v>13</v>
      </c>
      <c r="E140" s="46" t="s">
        <v>14</v>
      </c>
      <c r="F140" s="46" t="s">
        <v>15</v>
      </c>
      <c r="G140" s="46" t="s">
        <v>16</v>
      </c>
      <c r="H140" s="46" t="s">
        <v>18</v>
      </c>
      <c r="I140" s="46" t="s">
        <v>26</v>
      </c>
      <c r="J140" s="46" t="s">
        <v>19</v>
      </c>
    </row>
    <row r="141" spans="1:10" ht="16.5" customHeight="1" x14ac:dyDescent="0.25">
      <c r="A141" s="154" t="s">
        <v>250</v>
      </c>
      <c r="B141" s="154"/>
      <c r="C141" s="154"/>
      <c r="D141" s="5"/>
      <c r="E141" s="5"/>
      <c r="F141" s="5"/>
      <c r="G141" s="5"/>
      <c r="H141" s="5">
        <v>1571.65</v>
      </c>
      <c r="I141" s="5"/>
      <c r="J141" s="5">
        <f>PRODUCT(D141:H141)-I141</f>
        <v>1571.65</v>
      </c>
    </row>
    <row r="142" spans="1:10" ht="16.5" customHeight="1" x14ac:dyDescent="0.25">
      <c r="A142" s="166" t="s">
        <v>259</v>
      </c>
      <c r="B142" s="167"/>
      <c r="C142" s="168"/>
      <c r="D142" s="5"/>
      <c r="E142" s="5"/>
      <c r="F142" s="5"/>
      <c r="G142" s="5"/>
      <c r="H142" s="5">
        <v>171</v>
      </c>
      <c r="I142" s="5"/>
      <c r="J142" s="5">
        <f t="shared" ref="J142" si="10">PRODUCT(D142:H142)-I142</f>
        <v>171</v>
      </c>
    </row>
    <row r="143" spans="1:10" ht="16.5" customHeight="1" x14ac:dyDescent="0.25">
      <c r="A143" s="166" t="s">
        <v>259</v>
      </c>
      <c r="B143" s="167"/>
      <c r="C143" s="168"/>
      <c r="D143" s="5"/>
      <c r="E143" s="5"/>
      <c r="F143" s="5"/>
      <c r="G143" s="5"/>
      <c r="H143" s="5">
        <v>204.38</v>
      </c>
      <c r="I143" s="5"/>
      <c r="J143" s="5">
        <f>PRODUCT(D143:H143)-I143</f>
        <v>204.38</v>
      </c>
    </row>
    <row r="144" spans="1:10" ht="16.5" customHeight="1" x14ac:dyDescent="0.25">
      <c r="A144" s="156" t="str">
        <f>"TOTAL - "&amp;'Plan. Orçamentária'!F40</f>
        <v>TOTAL - M2</v>
      </c>
      <c r="B144" s="156"/>
      <c r="C144" s="156"/>
      <c r="D144" s="156"/>
      <c r="E144" s="156"/>
      <c r="F144" s="156"/>
      <c r="G144" s="156"/>
      <c r="H144" s="156"/>
      <c r="I144" s="156"/>
      <c r="J144" s="41">
        <f>SUM(J141:J143)</f>
        <v>1947.03</v>
      </c>
    </row>
    <row r="145" spans="1:10" ht="16.5" customHeight="1" x14ac:dyDescent="0.25">
      <c r="A145" s="16" t="str">
        <f>'Plan. Orçamentária'!A41</f>
        <v>6.2</v>
      </c>
      <c r="B145" s="165" t="str">
        <f>'Plan. Orçamentária'!D41</f>
        <v>Carga de material de qualquer natureza sobre caminhão basculante, de forma mecanizada</v>
      </c>
      <c r="C145" s="165"/>
      <c r="D145" s="165"/>
      <c r="E145" s="165"/>
      <c r="F145" s="165"/>
      <c r="G145" s="165"/>
      <c r="H145" s="165"/>
      <c r="I145" s="165"/>
      <c r="J145" s="165"/>
    </row>
    <row r="146" spans="1:10" ht="16.5" customHeight="1" x14ac:dyDescent="0.25">
      <c r="A146" s="164" t="s">
        <v>12</v>
      </c>
      <c r="B146" s="164"/>
      <c r="C146" s="164"/>
      <c r="D146" s="46" t="s">
        <v>13</v>
      </c>
      <c r="E146" s="46" t="s">
        <v>14</v>
      </c>
      <c r="F146" s="46" t="s">
        <v>15</v>
      </c>
      <c r="G146" s="46" t="s">
        <v>118</v>
      </c>
      <c r="H146" s="46" t="s">
        <v>119</v>
      </c>
      <c r="I146" s="46" t="s">
        <v>120</v>
      </c>
      <c r="J146" s="46" t="s">
        <v>19</v>
      </c>
    </row>
    <row r="147" spans="1:10" ht="25.5" customHeight="1" x14ac:dyDescent="0.25">
      <c r="A147" s="154" t="s">
        <v>121</v>
      </c>
      <c r="B147" s="154"/>
      <c r="C147" s="154"/>
      <c r="D147" s="5"/>
      <c r="E147" s="5"/>
      <c r="F147" s="5">
        <v>0.16</v>
      </c>
      <c r="G147" s="5">
        <f>J144</f>
        <v>1947.03</v>
      </c>
      <c r="H147" s="5"/>
      <c r="I147" s="5">
        <v>1.5</v>
      </c>
      <c r="J147" s="5">
        <f>PRODUCT(D147:I147)</f>
        <v>467.29</v>
      </c>
    </row>
    <row r="148" spans="1:10" ht="16.5" customHeight="1" x14ac:dyDescent="0.25">
      <c r="A148" s="156" t="str">
        <f>"TOTAL - "&amp;'Plan. Orçamentária'!F41</f>
        <v>TOTAL - M3</v>
      </c>
      <c r="B148" s="156"/>
      <c r="C148" s="156"/>
      <c r="D148" s="156"/>
      <c r="E148" s="156"/>
      <c r="F148" s="156"/>
      <c r="G148" s="156"/>
      <c r="H148" s="156"/>
      <c r="I148" s="156"/>
      <c r="J148" s="41">
        <f>SUM(J147:J147)</f>
        <v>467.29</v>
      </c>
    </row>
    <row r="149" spans="1:10" ht="16.5" customHeight="1" x14ac:dyDescent="0.25">
      <c r="A149" s="16" t="str">
        <f>'Plan. Orçamentária'!A42</f>
        <v>6.3</v>
      </c>
      <c r="B149" s="165" t="str">
        <f>'Plan. Orçamentária'!D42</f>
        <v>Transporte de material de qualquer natureza em caminhão basculante, DMT &gt; 5km, dentro do perímetro urbano</v>
      </c>
      <c r="C149" s="165"/>
      <c r="D149" s="165"/>
      <c r="E149" s="165"/>
      <c r="F149" s="165"/>
      <c r="G149" s="165"/>
      <c r="H149" s="165"/>
      <c r="I149" s="165"/>
      <c r="J149" s="165"/>
    </row>
    <row r="150" spans="1:10" s="17" customFormat="1" ht="16.5" customHeight="1" x14ac:dyDescent="0.25">
      <c r="A150" s="164" t="s">
        <v>12</v>
      </c>
      <c r="B150" s="164"/>
      <c r="C150" s="164"/>
      <c r="D150" s="46" t="s">
        <v>13</v>
      </c>
      <c r="E150" s="46" t="s">
        <v>14</v>
      </c>
      <c r="F150" s="46" t="s">
        <v>15</v>
      </c>
      <c r="G150" s="47" t="s">
        <v>118</v>
      </c>
      <c r="H150" s="47" t="s">
        <v>119</v>
      </c>
      <c r="I150" s="47" t="s">
        <v>120</v>
      </c>
      <c r="J150" s="46" t="s">
        <v>19</v>
      </c>
    </row>
    <row r="151" spans="1:10" ht="16.5" customHeight="1" x14ac:dyDescent="0.25">
      <c r="A151" s="154" t="s">
        <v>122</v>
      </c>
      <c r="B151" s="154"/>
      <c r="C151" s="154"/>
      <c r="D151" s="5"/>
      <c r="E151" s="5"/>
      <c r="F151" s="5"/>
      <c r="G151" s="5">
        <f>J148</f>
        <v>467.29</v>
      </c>
      <c r="H151" s="5">
        <f>4.9+5.2</f>
        <v>10.1</v>
      </c>
      <c r="I151" s="5"/>
      <c r="J151" s="5">
        <f>PRODUCT(D151:I151)</f>
        <v>4719.63</v>
      </c>
    </row>
    <row r="152" spans="1:10" ht="16.5" customHeight="1" x14ac:dyDescent="0.25">
      <c r="A152" s="156" t="str">
        <f>"TOTAL - "&amp;'Plan. Orçamentária'!F42</f>
        <v>TOTAL - M3XKM</v>
      </c>
      <c r="B152" s="156"/>
      <c r="C152" s="156"/>
      <c r="D152" s="156"/>
      <c r="E152" s="156"/>
      <c r="F152" s="156"/>
      <c r="G152" s="156"/>
      <c r="H152" s="156"/>
      <c r="I152" s="156"/>
      <c r="J152" s="41">
        <f>SUM(J151:J151)</f>
        <v>4719.63</v>
      </c>
    </row>
    <row r="153" spans="1:10" ht="25.5" customHeight="1" x14ac:dyDescent="0.25">
      <c r="A153" s="16" t="str">
        <f>'Plan. Orçamentária'!A43</f>
        <v>6.4</v>
      </c>
      <c r="B153" s="165" t="str">
        <f>'Plan. Orçamentária'!D43</f>
        <v>Regularização e compactação de subleito de solo predominantemente argiloso</v>
      </c>
      <c r="C153" s="165"/>
      <c r="D153" s="165"/>
      <c r="E153" s="165"/>
      <c r="F153" s="165"/>
      <c r="G153" s="165"/>
      <c r="H153" s="165"/>
      <c r="I153" s="165"/>
      <c r="J153" s="165"/>
    </row>
    <row r="154" spans="1:10" s="17" customFormat="1" ht="16.5" customHeight="1" x14ac:dyDescent="0.25">
      <c r="A154" s="164" t="s">
        <v>12</v>
      </c>
      <c r="B154" s="164"/>
      <c r="C154" s="164"/>
      <c r="D154" s="46" t="s">
        <v>13</v>
      </c>
      <c r="E154" s="46" t="s">
        <v>14</v>
      </c>
      <c r="F154" s="46" t="s">
        <v>15</v>
      </c>
      <c r="G154" s="46" t="s">
        <v>16</v>
      </c>
      <c r="H154" s="46" t="s">
        <v>18</v>
      </c>
      <c r="I154" s="46" t="s">
        <v>26</v>
      </c>
      <c r="J154" s="46" t="s">
        <v>19</v>
      </c>
    </row>
    <row r="155" spans="1:10" ht="16.5" customHeight="1" x14ac:dyDescent="0.25">
      <c r="A155" s="154" t="s">
        <v>261</v>
      </c>
      <c r="B155" s="154"/>
      <c r="C155" s="154"/>
      <c r="D155" s="5"/>
      <c r="E155" s="5"/>
      <c r="F155" s="5"/>
      <c r="G155" s="5">
        <f>J141</f>
        <v>1571.65</v>
      </c>
      <c r="H155" s="5"/>
      <c r="I155" s="5"/>
      <c r="J155" s="5">
        <f>PRODUCT(D155:H155)-I155</f>
        <v>1571.65</v>
      </c>
    </row>
    <row r="156" spans="1:10" ht="16.5" customHeight="1" x14ac:dyDescent="0.25">
      <c r="A156" s="166" t="s">
        <v>260</v>
      </c>
      <c r="B156" s="167"/>
      <c r="C156" s="168"/>
      <c r="D156" s="5"/>
      <c r="E156" s="5"/>
      <c r="F156" s="5"/>
      <c r="G156" s="5">
        <f>J142+J143</f>
        <v>375.38</v>
      </c>
      <c r="H156" s="5"/>
      <c r="I156" s="5"/>
      <c r="J156" s="5">
        <f>PRODUCT(D156:H156)-I156</f>
        <v>375.38</v>
      </c>
    </row>
    <row r="157" spans="1:10" ht="16.5" customHeight="1" x14ac:dyDescent="0.25">
      <c r="A157" s="156" t="str">
        <f>"TOTAL - "&amp;'Plan. Orçamentária'!F43</f>
        <v>TOTAL - M2</v>
      </c>
      <c r="B157" s="156"/>
      <c r="C157" s="156"/>
      <c r="D157" s="156"/>
      <c r="E157" s="156"/>
      <c r="F157" s="156"/>
      <c r="G157" s="156"/>
      <c r="H157" s="156"/>
      <c r="I157" s="156"/>
      <c r="J157" s="41">
        <f>SUM(J155:J156)</f>
        <v>1947.03</v>
      </c>
    </row>
    <row r="158" spans="1:10" ht="16.5" customHeight="1" x14ac:dyDescent="0.25">
      <c r="A158" s="16" t="str">
        <f>'Plan. Orçamentária'!A44</f>
        <v>6.5</v>
      </c>
      <c r="B158" s="165" t="str">
        <f>'Plan. Orçamentária'!D44</f>
        <v>Remoção de meio-fio pré-moldado de concreto, inclusive carga</v>
      </c>
      <c r="C158" s="165"/>
      <c r="D158" s="165"/>
      <c r="E158" s="165"/>
      <c r="F158" s="165"/>
      <c r="G158" s="165"/>
      <c r="H158" s="165"/>
      <c r="I158" s="165"/>
      <c r="J158" s="165"/>
    </row>
    <row r="159" spans="1:10" ht="16.5" customHeight="1" x14ac:dyDescent="0.25">
      <c r="A159" s="164" t="s">
        <v>12</v>
      </c>
      <c r="B159" s="164"/>
      <c r="C159" s="164"/>
      <c r="D159" s="46" t="s">
        <v>13</v>
      </c>
      <c r="E159" s="46" t="s">
        <v>14</v>
      </c>
      <c r="F159" s="46" t="s">
        <v>15</v>
      </c>
      <c r="G159" s="46" t="s">
        <v>16</v>
      </c>
      <c r="H159" s="46" t="s">
        <v>18</v>
      </c>
      <c r="I159" s="46" t="s">
        <v>26</v>
      </c>
      <c r="J159" s="46" t="s">
        <v>19</v>
      </c>
    </row>
    <row r="160" spans="1:10" ht="16.5" customHeight="1" x14ac:dyDescent="0.25">
      <c r="A160" s="154" t="s">
        <v>262</v>
      </c>
      <c r="B160" s="154"/>
      <c r="C160" s="154"/>
      <c r="D160" s="5">
        <f>109+193</f>
        <v>302</v>
      </c>
      <c r="E160" s="5"/>
      <c r="F160" s="5"/>
      <c r="G160" s="5"/>
      <c r="H160" s="5"/>
      <c r="I160" s="5"/>
      <c r="J160" s="5">
        <f>PRODUCT(D160:H160)-I160</f>
        <v>302</v>
      </c>
    </row>
    <row r="161" spans="1:10" ht="16.5" customHeight="1" x14ac:dyDescent="0.25">
      <c r="A161" s="154" t="s">
        <v>263</v>
      </c>
      <c r="B161" s="154"/>
      <c r="C161" s="154"/>
      <c r="D161" s="5">
        <f>11+12+30+34</f>
        <v>87</v>
      </c>
      <c r="E161" s="5"/>
      <c r="F161" s="5"/>
      <c r="G161" s="5"/>
      <c r="H161" s="5"/>
      <c r="I161" s="5"/>
      <c r="J161" s="5">
        <f>PRODUCT(D161:H161)-I161</f>
        <v>87</v>
      </c>
    </row>
    <row r="162" spans="1:10" ht="16.5" customHeight="1" x14ac:dyDescent="0.25">
      <c r="A162" s="156" t="str">
        <f>"TOTAL - "&amp;'Plan. Orçamentária'!F44</f>
        <v>TOTAL - M</v>
      </c>
      <c r="B162" s="156"/>
      <c r="C162" s="156"/>
      <c r="D162" s="156"/>
      <c r="E162" s="156"/>
      <c r="F162" s="156"/>
      <c r="G162" s="156"/>
      <c r="H162" s="156"/>
      <c r="I162" s="156"/>
      <c r="J162" s="41">
        <f>SUM(J160:J161)</f>
        <v>389</v>
      </c>
    </row>
    <row r="163" spans="1:10" ht="28.5" customHeight="1" x14ac:dyDescent="0.25">
      <c r="A163" s="16" t="str">
        <f>'Plan. Orçamentária'!A45</f>
        <v>6.6</v>
      </c>
      <c r="B163" s="165" t="str">
        <f>'Plan. Orçamentária'!D45</f>
        <v>Meio-fio em concreto pré-fabricado Fck ≥ 15MPa, dimensões 80x13x10x35 cm (comprimento x face inferior x face superior x altura), para vias urbanas, inclusive escavação e reaterro</v>
      </c>
      <c r="C163" s="165"/>
      <c r="D163" s="165"/>
      <c r="E163" s="165"/>
      <c r="F163" s="165"/>
      <c r="G163" s="165"/>
      <c r="H163" s="165"/>
      <c r="I163" s="165"/>
      <c r="J163" s="165"/>
    </row>
    <row r="164" spans="1:10" ht="16.5" customHeight="1" x14ac:dyDescent="0.25">
      <c r="A164" s="164" t="s">
        <v>12</v>
      </c>
      <c r="B164" s="164"/>
      <c r="C164" s="164"/>
      <c r="D164" s="46" t="s">
        <v>13</v>
      </c>
      <c r="E164" s="46" t="s">
        <v>14</v>
      </c>
      <c r="F164" s="46" t="s">
        <v>15</v>
      </c>
      <c r="G164" s="46" t="s">
        <v>16</v>
      </c>
      <c r="H164" s="46" t="s">
        <v>18</v>
      </c>
      <c r="I164" s="46" t="s">
        <v>26</v>
      </c>
      <c r="J164" s="46" t="s">
        <v>19</v>
      </c>
    </row>
    <row r="165" spans="1:10" ht="16.5" customHeight="1" x14ac:dyDescent="0.25">
      <c r="A165" s="154" t="s">
        <v>264</v>
      </c>
      <c r="B165" s="154"/>
      <c r="C165" s="154"/>
      <c r="D165" s="5">
        <f>J162</f>
        <v>389</v>
      </c>
      <c r="E165" s="5"/>
      <c r="F165" s="5"/>
      <c r="G165" s="5"/>
      <c r="H165" s="5"/>
      <c r="I165" s="5"/>
      <c r="J165" s="5">
        <f>PRODUCT(D165:H165)-I165</f>
        <v>389</v>
      </c>
    </row>
    <row r="166" spans="1:10" ht="16.5" customHeight="1" x14ac:dyDescent="0.25">
      <c r="A166" s="187" t="s">
        <v>266</v>
      </c>
      <c r="B166" s="188"/>
      <c r="C166" s="189"/>
      <c r="D166" s="5">
        <v>6.46</v>
      </c>
      <c r="E166" s="5"/>
      <c r="F166" s="5"/>
      <c r="G166" s="5"/>
      <c r="H166" s="5"/>
      <c r="I166" s="5"/>
      <c r="J166" s="5">
        <f t="shared" ref="J166:J172" si="11">PRODUCT(D166:H166)-I166</f>
        <v>6.46</v>
      </c>
    </row>
    <row r="167" spans="1:10" ht="16.5" customHeight="1" x14ac:dyDescent="0.25">
      <c r="A167" s="190"/>
      <c r="B167" s="191"/>
      <c r="C167" s="192"/>
      <c r="D167" s="5">
        <v>7.5</v>
      </c>
      <c r="E167" s="5"/>
      <c r="F167" s="5"/>
      <c r="G167" s="5"/>
      <c r="H167" s="5"/>
      <c r="I167" s="5"/>
      <c r="J167" s="5">
        <f t="shared" si="11"/>
        <v>7.5</v>
      </c>
    </row>
    <row r="168" spans="1:10" ht="16.5" customHeight="1" x14ac:dyDescent="0.25">
      <c r="A168" s="154" t="s">
        <v>265</v>
      </c>
      <c r="B168" s="154"/>
      <c r="C168" s="154"/>
      <c r="D168" s="5">
        <v>87</v>
      </c>
      <c r="E168" s="5"/>
      <c r="F168" s="5"/>
      <c r="G168" s="5"/>
      <c r="H168" s="5"/>
      <c r="I168" s="5"/>
      <c r="J168" s="5">
        <f t="shared" si="11"/>
        <v>87</v>
      </c>
    </row>
    <row r="169" spans="1:10" ht="16.5" customHeight="1" x14ac:dyDescent="0.25">
      <c r="A169" s="187" t="s">
        <v>267</v>
      </c>
      <c r="B169" s="188"/>
      <c r="C169" s="189"/>
      <c r="D169" s="5">
        <v>6.56</v>
      </c>
      <c r="E169" s="5"/>
      <c r="F169" s="5"/>
      <c r="G169" s="5"/>
      <c r="H169" s="5"/>
      <c r="I169" s="5"/>
      <c r="J169" s="5">
        <f t="shared" si="11"/>
        <v>6.56</v>
      </c>
    </row>
    <row r="170" spans="1:10" ht="16.5" customHeight="1" x14ac:dyDescent="0.25">
      <c r="A170" s="190"/>
      <c r="B170" s="191"/>
      <c r="C170" s="192"/>
      <c r="D170" s="5">
        <v>7.13</v>
      </c>
      <c r="E170" s="5"/>
      <c r="F170" s="5"/>
      <c r="G170" s="5"/>
      <c r="H170" s="5"/>
      <c r="I170" s="5"/>
      <c r="J170" s="5">
        <f t="shared" si="11"/>
        <v>7.13</v>
      </c>
    </row>
    <row r="171" spans="1:10" ht="16.5" customHeight="1" x14ac:dyDescent="0.25">
      <c r="A171" s="187" t="s">
        <v>268</v>
      </c>
      <c r="B171" s="188"/>
      <c r="C171" s="189"/>
      <c r="D171" s="5">
        <v>7.1</v>
      </c>
      <c r="E171" s="5"/>
      <c r="F171" s="5"/>
      <c r="G171" s="5"/>
      <c r="H171" s="5"/>
      <c r="I171" s="5"/>
      <c r="J171" s="5">
        <f t="shared" si="11"/>
        <v>7.1</v>
      </c>
    </row>
    <row r="172" spans="1:10" ht="16.5" customHeight="1" x14ac:dyDescent="0.25">
      <c r="A172" s="190"/>
      <c r="B172" s="191"/>
      <c r="C172" s="192"/>
      <c r="D172" s="5">
        <v>6.53</v>
      </c>
      <c r="E172" s="5"/>
      <c r="F172" s="5"/>
      <c r="G172" s="5"/>
      <c r="H172" s="5"/>
      <c r="I172" s="5"/>
      <c r="J172" s="5">
        <f t="shared" si="11"/>
        <v>6.53</v>
      </c>
    </row>
    <row r="173" spans="1:10" ht="16.5" customHeight="1" x14ac:dyDescent="0.25">
      <c r="A173" s="156" t="str">
        <f>"TOTAL - "&amp;'Plan. Orçamentária'!F45</f>
        <v>TOTAL - M</v>
      </c>
      <c r="B173" s="156"/>
      <c r="C173" s="156"/>
      <c r="D173" s="156"/>
      <c r="E173" s="156"/>
      <c r="F173" s="156"/>
      <c r="G173" s="156"/>
      <c r="H173" s="156"/>
      <c r="I173" s="156"/>
      <c r="J173" s="41">
        <f>SUM(J165:J172)</f>
        <v>517.28</v>
      </c>
    </row>
    <row r="174" spans="1:10" ht="27.75" customHeight="1" x14ac:dyDescent="0.25">
      <c r="A174" s="16" t="str">
        <f>'Plan. Orçamentária'!A46</f>
        <v>6.7</v>
      </c>
      <c r="B174" s="165" t="str">
        <f>'Plan. Orçamentária'!D46</f>
        <v>Pavimentação de via em piso de concreto pré-moldado intertravado sobre camada de assentamento em pó de pedra, espessura de 6 cm, incluindo fornecimento e transporte de todos os materiais</v>
      </c>
      <c r="C174" s="165"/>
      <c r="D174" s="165"/>
      <c r="E174" s="165"/>
      <c r="F174" s="165"/>
      <c r="G174" s="165"/>
      <c r="H174" s="165"/>
      <c r="I174" s="165"/>
      <c r="J174" s="165"/>
    </row>
    <row r="175" spans="1:10" ht="16.5" customHeight="1" x14ac:dyDescent="0.25">
      <c r="A175" s="164" t="s">
        <v>12</v>
      </c>
      <c r="B175" s="164"/>
      <c r="C175" s="164"/>
      <c r="D175" s="46" t="s">
        <v>13</v>
      </c>
      <c r="E175" s="46" t="s">
        <v>14</v>
      </c>
      <c r="F175" s="46" t="s">
        <v>15</v>
      </c>
      <c r="G175" s="46" t="s">
        <v>16</v>
      </c>
      <c r="H175" s="46" t="s">
        <v>18</v>
      </c>
      <c r="I175" s="46" t="s">
        <v>26</v>
      </c>
      <c r="J175" s="46" t="s">
        <v>19</v>
      </c>
    </row>
    <row r="176" spans="1:10" ht="16.5" customHeight="1" x14ac:dyDescent="0.25">
      <c r="A176" s="172" t="s">
        <v>253</v>
      </c>
      <c r="B176" s="172"/>
      <c r="C176" s="172"/>
      <c r="D176" s="5"/>
      <c r="E176" s="5"/>
      <c r="F176" s="5"/>
      <c r="G176" s="5"/>
      <c r="H176" s="5"/>
      <c r="I176" s="5"/>
      <c r="J176" s="5"/>
    </row>
    <row r="177" spans="1:10" ht="16.5" customHeight="1" x14ac:dyDescent="0.25">
      <c r="A177" s="154" t="s">
        <v>48</v>
      </c>
      <c r="B177" s="154"/>
      <c r="C177" s="154"/>
      <c r="D177" s="5"/>
      <c r="E177" s="5"/>
      <c r="F177" s="5"/>
      <c r="G177" s="5"/>
      <c r="H177" s="5">
        <f>J141</f>
        <v>1571.65</v>
      </c>
      <c r="I177" s="5"/>
      <c r="J177" s="5">
        <f>PRODUCT(D177:H177)-I177</f>
        <v>1571.65</v>
      </c>
    </row>
    <row r="178" spans="1:10" ht="16.5" customHeight="1" x14ac:dyDescent="0.25">
      <c r="A178" s="172" t="s">
        <v>254</v>
      </c>
      <c r="B178" s="172"/>
      <c r="C178" s="172"/>
      <c r="D178" s="5"/>
      <c r="E178" s="5"/>
      <c r="F178" s="5"/>
      <c r="G178" s="5"/>
      <c r="H178" s="5"/>
      <c r="I178" s="5"/>
      <c r="J178" s="5"/>
    </row>
    <row r="179" spans="1:10" ht="16.5" customHeight="1" x14ac:dyDescent="0.25">
      <c r="A179" s="154" t="s">
        <v>269</v>
      </c>
      <c r="B179" s="154"/>
      <c r="C179" s="154"/>
      <c r="D179" s="5"/>
      <c r="E179" s="5"/>
      <c r="F179" s="5"/>
      <c r="G179" s="5"/>
      <c r="H179" s="5">
        <v>171</v>
      </c>
      <c r="I179" s="5"/>
      <c r="J179" s="5">
        <f>PRODUCT(D179:H179)-I179</f>
        <v>171</v>
      </c>
    </row>
    <row r="180" spans="1:10" ht="16.5" customHeight="1" x14ac:dyDescent="0.25">
      <c r="A180" s="154" t="s">
        <v>270</v>
      </c>
      <c r="B180" s="154"/>
      <c r="C180" s="154"/>
      <c r="D180" s="5"/>
      <c r="E180" s="5"/>
      <c r="F180" s="5"/>
      <c r="G180" s="5"/>
      <c r="H180" s="5">
        <v>204.38</v>
      </c>
      <c r="I180" s="5"/>
      <c r="J180" s="5">
        <f>PRODUCT(D180:H180)-I180</f>
        <v>204.38</v>
      </c>
    </row>
    <row r="181" spans="1:10" ht="16.5" customHeight="1" x14ac:dyDescent="0.25">
      <c r="A181" s="156" t="str">
        <f>"TOTAL - "&amp;'Plan. Orçamentária'!F46</f>
        <v>TOTAL - M2</v>
      </c>
      <c r="B181" s="156"/>
      <c r="C181" s="156"/>
      <c r="D181" s="156"/>
      <c r="E181" s="156"/>
      <c r="F181" s="156"/>
      <c r="G181" s="156"/>
      <c r="H181" s="156"/>
      <c r="I181" s="156"/>
      <c r="J181" s="41">
        <f>SUM(J176:J180)</f>
        <v>1947.03</v>
      </c>
    </row>
    <row r="182" spans="1:10" ht="16.5" customHeight="1" x14ac:dyDescent="0.25">
      <c r="A182" s="16" t="str">
        <f>'Plan. Orçamentária'!A47</f>
        <v>6.8</v>
      </c>
      <c r="B182" s="165" t="str">
        <f>'Plan. Orçamentária'!D47</f>
        <v>Sarjeta em concreto usinado, Fck ≥ 35 MPa, 30cm de base x 10cm de altura, incluindo formas e compactação do terreno</v>
      </c>
      <c r="C182" s="165"/>
      <c r="D182" s="165"/>
      <c r="E182" s="165"/>
      <c r="F182" s="165"/>
      <c r="G182" s="165"/>
      <c r="H182" s="165"/>
      <c r="I182" s="165"/>
      <c r="J182" s="165"/>
    </row>
    <row r="183" spans="1:10" ht="16.5" customHeight="1" x14ac:dyDescent="0.25">
      <c r="A183" s="164" t="s">
        <v>12</v>
      </c>
      <c r="B183" s="164"/>
      <c r="C183" s="164"/>
      <c r="D183" s="46" t="s">
        <v>13</v>
      </c>
      <c r="E183" s="46" t="s">
        <v>14</v>
      </c>
      <c r="F183" s="46" t="s">
        <v>15</v>
      </c>
      <c r="G183" s="46" t="s">
        <v>16</v>
      </c>
      <c r="H183" s="46" t="s">
        <v>18</v>
      </c>
      <c r="I183" s="46" t="s">
        <v>26</v>
      </c>
      <c r="J183" s="46" t="s">
        <v>19</v>
      </c>
    </row>
    <row r="184" spans="1:10" ht="16.5" customHeight="1" x14ac:dyDescent="0.25">
      <c r="A184" s="172" t="s">
        <v>253</v>
      </c>
      <c r="B184" s="172"/>
      <c r="C184" s="172"/>
      <c r="D184" s="115"/>
      <c r="E184" s="115"/>
      <c r="F184" s="115"/>
      <c r="G184" s="115"/>
      <c r="H184" s="115"/>
      <c r="I184" s="115"/>
      <c r="J184" s="115"/>
    </row>
    <row r="185" spans="1:10" ht="16.5" customHeight="1" x14ac:dyDescent="0.25">
      <c r="A185" s="154" t="s">
        <v>48</v>
      </c>
      <c r="B185" s="154"/>
      <c r="C185" s="154"/>
      <c r="D185" s="118">
        <v>463.55</v>
      </c>
      <c r="E185" s="115"/>
      <c r="F185" s="115"/>
      <c r="G185" s="115"/>
      <c r="H185" s="115"/>
      <c r="I185" s="115"/>
      <c r="J185" s="5">
        <f>PRODUCT(D185:H185)-I185</f>
        <v>463.55</v>
      </c>
    </row>
    <row r="186" spans="1:10" ht="16.5" customHeight="1" x14ac:dyDescent="0.25">
      <c r="A186" s="172" t="s">
        <v>254</v>
      </c>
      <c r="B186" s="172"/>
      <c r="C186" s="172"/>
      <c r="D186" s="115"/>
      <c r="E186" s="115"/>
      <c r="F186" s="115"/>
      <c r="G186" s="115"/>
      <c r="H186" s="115"/>
      <c r="I186" s="115"/>
      <c r="J186" s="115"/>
    </row>
    <row r="187" spans="1:10" ht="16.5" customHeight="1" x14ac:dyDescent="0.25">
      <c r="A187" s="154" t="s">
        <v>269</v>
      </c>
      <c r="B187" s="154"/>
      <c r="C187" s="154"/>
      <c r="D187" s="5">
        <v>51.77</v>
      </c>
      <c r="E187" s="115"/>
      <c r="F187" s="115"/>
      <c r="G187" s="115"/>
      <c r="H187" s="115"/>
      <c r="I187" s="115"/>
      <c r="J187" s="5">
        <f>PRODUCT(D187:H187)-I187</f>
        <v>51.77</v>
      </c>
    </row>
    <row r="188" spans="1:10" ht="16.5" customHeight="1" x14ac:dyDescent="0.25">
      <c r="A188" s="154" t="s">
        <v>270</v>
      </c>
      <c r="B188" s="154"/>
      <c r="C188" s="154"/>
      <c r="D188" s="5">
        <v>62.67</v>
      </c>
      <c r="E188" s="5"/>
      <c r="F188" s="5"/>
      <c r="G188" s="5"/>
      <c r="H188" s="5"/>
      <c r="I188" s="5"/>
      <c r="J188" s="5">
        <f>PRODUCT(D188:H188)-I188</f>
        <v>62.67</v>
      </c>
    </row>
    <row r="189" spans="1:10" ht="16.5" customHeight="1" x14ac:dyDescent="0.25">
      <c r="A189" s="156" t="str">
        <f>"TOTAL - "&amp;'Plan. Orçamentária'!F47</f>
        <v>TOTAL - M</v>
      </c>
      <c r="B189" s="156"/>
      <c r="C189" s="156"/>
      <c r="D189" s="156"/>
      <c r="E189" s="156"/>
      <c r="F189" s="156"/>
      <c r="G189" s="156"/>
      <c r="H189" s="156"/>
      <c r="I189" s="156"/>
      <c r="J189" s="41">
        <f>SUM(J184:J188)</f>
        <v>577.99</v>
      </c>
    </row>
  </sheetData>
  <mergeCells count="203">
    <mergeCell ref="A186:C186"/>
    <mergeCell ref="A187:C187"/>
    <mergeCell ref="I117:I119"/>
    <mergeCell ref="A119:E119"/>
    <mergeCell ref="J117:J119"/>
    <mergeCell ref="A133:C133"/>
    <mergeCell ref="A134:C134"/>
    <mergeCell ref="A135:C135"/>
    <mergeCell ref="A136:C136"/>
    <mergeCell ref="A142:C142"/>
    <mergeCell ref="A143:C143"/>
    <mergeCell ref="A184:C184"/>
    <mergeCell ref="A185:C185"/>
    <mergeCell ref="A162:I162"/>
    <mergeCell ref="A141:C141"/>
    <mergeCell ref="A146:C146"/>
    <mergeCell ref="A154:C154"/>
    <mergeCell ref="B149:J149"/>
    <mergeCell ref="A150:C150"/>
    <mergeCell ref="B153:J153"/>
    <mergeCell ref="A147:C147"/>
    <mergeCell ref="A157:I157"/>
    <mergeCell ref="A144:I144"/>
    <mergeCell ref="A148:I148"/>
    <mergeCell ref="A77:C77"/>
    <mergeCell ref="A73:C73"/>
    <mergeCell ref="A74:C74"/>
    <mergeCell ref="A75:C75"/>
    <mergeCell ref="A76:C76"/>
    <mergeCell ref="A111:C111"/>
    <mergeCell ref="A99:C99"/>
    <mergeCell ref="A107:C108"/>
    <mergeCell ref="A78:C78"/>
    <mergeCell ref="A79:C79"/>
    <mergeCell ref="A80:C80"/>
    <mergeCell ref="A189:I189"/>
    <mergeCell ref="A25:C25"/>
    <mergeCell ref="A26:C26"/>
    <mergeCell ref="A151:C151"/>
    <mergeCell ref="A152:I152"/>
    <mergeCell ref="A31:I31"/>
    <mergeCell ref="B41:J41"/>
    <mergeCell ref="B58:J58"/>
    <mergeCell ref="B69:J69"/>
    <mergeCell ref="B138:J138"/>
    <mergeCell ref="B42:J42"/>
    <mergeCell ref="B46:J46"/>
    <mergeCell ref="B50:J50"/>
    <mergeCell ref="B54:J54"/>
    <mergeCell ref="A66:C66"/>
    <mergeCell ref="A65:C65"/>
    <mergeCell ref="A27:I27"/>
    <mergeCell ref="B28:J28"/>
    <mergeCell ref="A29:C29"/>
    <mergeCell ref="A30:C30"/>
    <mergeCell ref="A53:I53"/>
    <mergeCell ref="A84:C84"/>
    <mergeCell ref="A104:C104"/>
    <mergeCell ref="A109:C109"/>
    <mergeCell ref="B174:J174"/>
    <mergeCell ref="A1:J3"/>
    <mergeCell ref="A4:J4"/>
    <mergeCell ref="A5:J5"/>
    <mergeCell ref="A6:A7"/>
    <mergeCell ref="B6:G7"/>
    <mergeCell ref="H6:H7"/>
    <mergeCell ref="I6:I7"/>
    <mergeCell ref="J6:J7"/>
    <mergeCell ref="A8:J8"/>
    <mergeCell ref="B9:J9"/>
    <mergeCell ref="B14:J14"/>
    <mergeCell ref="A18:I18"/>
    <mergeCell ref="A15:C15"/>
    <mergeCell ref="A16:C16"/>
    <mergeCell ref="A55:C55"/>
    <mergeCell ref="A61:C61"/>
    <mergeCell ref="B63:J63"/>
    <mergeCell ref="A49:I49"/>
    <mergeCell ref="A51:C51"/>
    <mergeCell ref="A52:C52"/>
    <mergeCell ref="D13:E13"/>
    <mergeCell ref="A93:I93"/>
    <mergeCell ref="A97:C97"/>
    <mergeCell ref="F13:G13"/>
    <mergeCell ref="H13:J13"/>
    <mergeCell ref="B24:J24"/>
    <mergeCell ref="H10:J12"/>
    <mergeCell ref="A13:C13"/>
    <mergeCell ref="B32:J32"/>
    <mergeCell ref="D10:E12"/>
    <mergeCell ref="A43:C43"/>
    <mergeCell ref="A44:C44"/>
    <mergeCell ref="F10:G12"/>
    <mergeCell ref="A10:C12"/>
    <mergeCell ref="A22:C22"/>
    <mergeCell ref="A23:I23"/>
    <mergeCell ref="B19:J19"/>
    <mergeCell ref="B20:J20"/>
    <mergeCell ref="A21:C21"/>
    <mergeCell ref="A33:C33"/>
    <mergeCell ref="A34:C34"/>
    <mergeCell ref="A35:I35"/>
    <mergeCell ref="B36:J36"/>
    <mergeCell ref="A37:C37"/>
    <mergeCell ref="A38:C38"/>
    <mergeCell ref="A40:I40"/>
    <mergeCell ref="A39:C39"/>
    <mergeCell ref="A48:C48"/>
    <mergeCell ref="A188:C188"/>
    <mergeCell ref="A175:C175"/>
    <mergeCell ref="A181:I181"/>
    <mergeCell ref="B182:J182"/>
    <mergeCell ref="A183:C183"/>
    <mergeCell ref="A173:I173"/>
    <mergeCell ref="A165:C165"/>
    <mergeCell ref="B158:J158"/>
    <mergeCell ref="A159:C159"/>
    <mergeCell ref="B163:J163"/>
    <mergeCell ref="A164:C164"/>
    <mergeCell ref="A176:C176"/>
    <mergeCell ref="A166:C167"/>
    <mergeCell ref="A161:C161"/>
    <mergeCell ref="A168:C168"/>
    <mergeCell ref="A169:C170"/>
    <mergeCell ref="A171:C172"/>
    <mergeCell ref="A177:C177"/>
    <mergeCell ref="A178:C178"/>
    <mergeCell ref="A179:C179"/>
    <mergeCell ref="A180:C180"/>
    <mergeCell ref="A56:C56"/>
    <mergeCell ref="A57:I57"/>
    <mergeCell ref="A17:C17"/>
    <mergeCell ref="D107:F107"/>
    <mergeCell ref="G107:G108"/>
    <mergeCell ref="A115:E115"/>
    <mergeCell ref="G110:G115"/>
    <mergeCell ref="I107:I108"/>
    <mergeCell ref="I110:I115"/>
    <mergeCell ref="B145:J145"/>
    <mergeCell ref="A124:C124"/>
    <mergeCell ref="B121:J121"/>
    <mergeCell ref="A122:C122"/>
    <mergeCell ref="A123:C123"/>
    <mergeCell ref="A105:I105"/>
    <mergeCell ref="J110:J115"/>
    <mergeCell ref="J107:J108"/>
    <mergeCell ref="B139:J139"/>
    <mergeCell ref="A131:C131"/>
    <mergeCell ref="A132:C132"/>
    <mergeCell ref="A137:I137"/>
    <mergeCell ref="A129:I129"/>
    <mergeCell ref="A110:C110"/>
    <mergeCell ref="A112:C112"/>
    <mergeCell ref="A45:I45"/>
    <mergeCell ref="A47:C47"/>
    <mergeCell ref="B59:J59"/>
    <mergeCell ref="A64:C64"/>
    <mergeCell ref="A68:I68"/>
    <mergeCell ref="A67:C67"/>
    <mergeCell ref="A101:C101"/>
    <mergeCell ref="A125:I125"/>
    <mergeCell ref="B126:J126"/>
    <mergeCell ref="A127:C127"/>
    <mergeCell ref="A128:C128"/>
    <mergeCell ref="A120:I120"/>
    <mergeCell ref="A113:C113"/>
    <mergeCell ref="A87:C87"/>
    <mergeCell ref="A88:C88"/>
    <mergeCell ref="A89:C89"/>
    <mergeCell ref="A100:C100"/>
    <mergeCell ref="A86:C86"/>
    <mergeCell ref="A95:C95"/>
    <mergeCell ref="A98:C98"/>
    <mergeCell ref="B94:J94"/>
    <mergeCell ref="B70:J70"/>
    <mergeCell ref="B82:J82"/>
    <mergeCell ref="A83:C83"/>
    <mergeCell ref="A116:C116"/>
    <mergeCell ref="A117:C117"/>
    <mergeCell ref="A114:C114"/>
    <mergeCell ref="H107:H108"/>
    <mergeCell ref="A160:C160"/>
    <mergeCell ref="A85:C85"/>
    <mergeCell ref="B106:J106"/>
    <mergeCell ref="A81:I81"/>
    <mergeCell ref="A71:C71"/>
    <mergeCell ref="A60:C60"/>
    <mergeCell ref="A62:I62"/>
    <mergeCell ref="A140:C140"/>
    <mergeCell ref="B130:J130"/>
    <mergeCell ref="A155:C155"/>
    <mergeCell ref="A156:C156"/>
    <mergeCell ref="A118:C118"/>
    <mergeCell ref="G117:G119"/>
    <mergeCell ref="H117:H119"/>
    <mergeCell ref="A72:C72"/>
    <mergeCell ref="A91:C91"/>
    <mergeCell ref="A92:C92"/>
    <mergeCell ref="A90:C90"/>
    <mergeCell ref="A96:C96"/>
    <mergeCell ref="A102:C102"/>
    <mergeCell ref="A103:C103"/>
    <mergeCell ref="H110:H115"/>
  </mergeCells>
  <pageMargins left="0.39370078740157483" right="0.39370078740157483" top="0.39370078740157483" bottom="0.78740157480314965" header="0.31496062992125984" footer="0.31496062992125984"/>
  <pageSetup paperSize="9" scale="58" fitToHeight="0" orientation="portrait" verticalDpi="4294967295" r:id="rId1"/>
  <headerFooter>
    <oddFooter>Página &amp;P de &amp;N</oddFooter>
  </headerFooter>
  <rowBreaks count="2" manualBreakCount="2">
    <brk id="75" max="9" man="1"/>
    <brk id="137"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9"/>
  <sheetViews>
    <sheetView view="pageBreakPreview" zoomScaleNormal="100" zoomScaleSheetLayoutView="100" workbookViewId="0">
      <selection activeCell="E32" sqref="E32"/>
    </sheetView>
  </sheetViews>
  <sheetFormatPr defaultRowHeight="16.5" customHeight="1" x14ac:dyDescent="0.25"/>
  <cols>
    <col min="1" max="1" width="13.140625" style="12" customWidth="1"/>
    <col min="2" max="3" width="13.7109375" style="12" customWidth="1"/>
    <col min="4" max="4" width="14.85546875" style="12" customWidth="1"/>
    <col min="5" max="5" width="91.28515625" style="12" customWidth="1"/>
    <col min="6" max="6" width="15" style="12" customWidth="1"/>
    <col min="7" max="7" width="12.28515625" style="12" customWidth="1"/>
    <col min="8" max="8" width="12.140625" style="12" customWidth="1"/>
    <col min="9" max="9" width="13" style="12" customWidth="1"/>
    <col min="10" max="16384" width="9.140625" style="12"/>
  </cols>
  <sheetData>
    <row r="1" spans="1:17" s="9" customFormat="1" ht="16.5" customHeight="1" x14ac:dyDescent="0.2">
      <c r="A1" s="218" t="s">
        <v>25</v>
      </c>
      <c r="B1" s="218"/>
      <c r="C1" s="218"/>
      <c r="D1" s="218"/>
      <c r="E1" s="218"/>
      <c r="F1" s="218"/>
      <c r="G1" s="218"/>
      <c r="H1" s="218"/>
      <c r="I1" s="218"/>
      <c r="Q1" s="9">
        <v>1</v>
      </c>
    </row>
    <row r="2" spans="1:17" s="9" customFormat="1" ht="16.5" customHeight="1" x14ac:dyDescent="0.2">
      <c r="A2" s="218"/>
      <c r="B2" s="218"/>
      <c r="C2" s="218"/>
      <c r="D2" s="218"/>
      <c r="E2" s="218"/>
      <c r="F2" s="218"/>
      <c r="G2" s="218"/>
      <c r="H2" s="218"/>
      <c r="I2" s="218"/>
      <c r="Q2" s="9">
        <v>2</v>
      </c>
    </row>
    <row r="3" spans="1:17" s="9" customFormat="1" ht="16.5" customHeight="1" x14ac:dyDescent="0.2">
      <c r="A3" s="218"/>
      <c r="B3" s="218"/>
      <c r="C3" s="218"/>
      <c r="D3" s="218"/>
      <c r="E3" s="218"/>
      <c r="F3" s="218"/>
      <c r="G3" s="218"/>
      <c r="H3" s="218"/>
      <c r="I3" s="218"/>
      <c r="Q3" s="9">
        <v>3</v>
      </c>
    </row>
    <row r="4" spans="1:17" s="9" customFormat="1" ht="16.5" customHeight="1" x14ac:dyDescent="0.2">
      <c r="A4" s="217" t="str">
        <f>'Plan. Orçamentária'!A4:I4</f>
        <v>OBRA POR EXECUÇÃO INDIRETA</v>
      </c>
      <c r="B4" s="217"/>
      <c r="C4" s="217"/>
      <c r="D4" s="217"/>
      <c r="E4" s="217"/>
      <c r="F4" s="217"/>
      <c r="G4" s="217"/>
      <c r="H4" s="217"/>
      <c r="I4" s="217"/>
      <c r="Q4" s="9">
        <v>4</v>
      </c>
    </row>
    <row r="5" spans="1:17" s="9" customFormat="1" ht="16.5" customHeight="1" x14ac:dyDescent="0.2">
      <c r="A5" s="219" t="str">
        <f>'Plan. Orçamentária'!A5:I5</f>
        <v xml:space="preserve"> Setor requisitante: Secretaria Municipal de Obras e Serviços Urbanos</v>
      </c>
      <c r="B5" s="219"/>
      <c r="C5" s="219"/>
      <c r="D5" s="219"/>
      <c r="E5" s="219"/>
      <c r="F5" s="219"/>
      <c r="G5" s="219"/>
      <c r="H5" s="219"/>
      <c r="I5" s="219"/>
      <c r="Q5" s="9">
        <v>5</v>
      </c>
    </row>
    <row r="6" spans="1:17" s="9" customFormat="1" ht="16.5" customHeight="1" x14ac:dyDescent="0.2">
      <c r="A6" s="219" t="str">
        <f>'Plan. Orçamentária'!A6:B7</f>
        <v>Objeto:</v>
      </c>
      <c r="B6" s="222" t="str">
        <f>'Plan. Orçamentária'!C6</f>
        <v>LOTE 03 - Pavimentação de via em piso de concreto pré-moldado intertravado, tipo Sextavado - Rua Antônio Muzzi e Rua Vicente Augusto, bairro Santa Maria - Nova Era/MG</v>
      </c>
      <c r="C6" s="222"/>
      <c r="D6" s="222"/>
      <c r="E6" s="222"/>
      <c r="F6" s="222"/>
      <c r="G6" s="220" t="str">
        <f>'Plan. Orçamentária'!G6:G7</f>
        <v>BDI:</v>
      </c>
      <c r="H6" s="221">
        <f>'Plan. Orçamentária'!H6:H7</f>
        <v>0.30380000000000001</v>
      </c>
      <c r="I6" s="220">
        <f ca="1">'Plan. Orçamentária'!I6:I7</f>
        <v>44887</v>
      </c>
      <c r="Q6" s="9">
        <v>6</v>
      </c>
    </row>
    <row r="7" spans="1:17" s="9" customFormat="1" ht="16.5" customHeight="1" x14ac:dyDescent="0.2">
      <c r="A7" s="219"/>
      <c r="B7" s="222"/>
      <c r="C7" s="222"/>
      <c r="D7" s="222"/>
      <c r="E7" s="222"/>
      <c r="F7" s="222"/>
      <c r="G7" s="220"/>
      <c r="H7" s="220"/>
      <c r="I7" s="220"/>
      <c r="Q7" s="9">
        <v>7</v>
      </c>
    </row>
    <row r="8" spans="1:17" s="9" customFormat="1" ht="16.5" customHeight="1" x14ac:dyDescent="0.2">
      <c r="A8" s="223" t="s">
        <v>36</v>
      </c>
      <c r="B8" s="224"/>
      <c r="C8" s="224"/>
      <c r="D8" s="224"/>
      <c r="E8" s="224"/>
      <c r="F8" s="224"/>
      <c r="G8" s="224"/>
      <c r="H8" s="224"/>
      <c r="I8" s="224"/>
    </row>
    <row r="9" spans="1:17" ht="25.5" customHeight="1" x14ac:dyDescent="0.25">
      <c r="A9" s="53">
        <v>1</v>
      </c>
      <c r="B9" s="212" t="s">
        <v>184</v>
      </c>
      <c r="C9" s="213"/>
      <c r="D9" s="213"/>
      <c r="E9" s="213"/>
      <c r="F9" s="213"/>
      <c r="G9" s="214"/>
      <c r="H9" s="79" t="s">
        <v>29</v>
      </c>
      <c r="I9" s="34">
        <f>I18</f>
        <v>5853.28</v>
      </c>
    </row>
    <row r="10" spans="1:17" ht="38.25" x14ac:dyDescent="0.25">
      <c r="A10" s="79" t="s">
        <v>4</v>
      </c>
      <c r="B10" s="79" t="s">
        <v>127</v>
      </c>
      <c r="C10" s="79" t="s">
        <v>128</v>
      </c>
      <c r="D10" s="79" t="s">
        <v>129</v>
      </c>
      <c r="E10" s="88" t="s">
        <v>186</v>
      </c>
      <c r="F10" s="80" t="s">
        <v>20</v>
      </c>
      <c r="G10" s="80" t="s">
        <v>21</v>
      </c>
      <c r="H10" s="80" t="s">
        <v>130</v>
      </c>
      <c r="I10" s="34" t="s">
        <v>131</v>
      </c>
    </row>
    <row r="11" spans="1:17" ht="35.25" customHeight="1" x14ac:dyDescent="0.25">
      <c r="A11" s="15" t="str">
        <f>"00"&amp;$A$9&amp;"."&amp;Q1</f>
        <v>001.1</v>
      </c>
      <c r="B11" s="30" t="s">
        <v>182</v>
      </c>
      <c r="C11" s="81" t="str">
        <f>"COMP-PMNE-00"&amp;A19</f>
        <v>COMP-PMNE-002</v>
      </c>
      <c r="D11" s="30" t="s">
        <v>182</v>
      </c>
      <c r="E11" s="104" t="s">
        <v>187</v>
      </c>
      <c r="F11" s="15" t="s">
        <v>27</v>
      </c>
      <c r="G11" s="14">
        <f>'Memória de cálculo - Composição'!I13</f>
        <v>2.0699999999999998</v>
      </c>
      <c r="H11" s="5">
        <f>I29</f>
        <v>220.68</v>
      </c>
      <c r="I11" s="39">
        <f t="shared" ref="I11:I17" si="0">G11*H11</f>
        <v>456.81</v>
      </c>
    </row>
    <row r="12" spans="1:17" ht="25.5" customHeight="1" x14ac:dyDescent="0.25">
      <c r="A12" s="15" t="str">
        <f t="shared" ref="A12:A17" si="1">"00"&amp;$A$9&amp;"."&amp;Q2</f>
        <v>001.2</v>
      </c>
      <c r="B12" s="30" t="s">
        <v>182</v>
      </c>
      <c r="C12" s="81">
        <v>92803</v>
      </c>
      <c r="D12" s="30" t="s">
        <v>180</v>
      </c>
      <c r="E12" s="104" t="s">
        <v>188</v>
      </c>
      <c r="F12" s="15" t="s">
        <v>31</v>
      </c>
      <c r="G12" s="14">
        <f>'Memória de cálculo - Composição'!I18</f>
        <v>49.76</v>
      </c>
      <c r="H12" s="5">
        <v>11.72</v>
      </c>
      <c r="I12" s="39">
        <f t="shared" si="0"/>
        <v>583.19000000000005</v>
      </c>
    </row>
    <row r="13" spans="1:17" ht="25.5" customHeight="1" x14ac:dyDescent="0.25">
      <c r="A13" s="15" t="str">
        <f t="shared" si="1"/>
        <v>001.3</v>
      </c>
      <c r="B13" s="30" t="s">
        <v>182</v>
      </c>
      <c r="C13" s="81">
        <v>99252</v>
      </c>
      <c r="D13" s="30" t="s">
        <v>180</v>
      </c>
      <c r="E13" s="104" t="s">
        <v>189</v>
      </c>
      <c r="F13" s="15" t="s">
        <v>29</v>
      </c>
      <c r="G13" s="14">
        <v>1</v>
      </c>
      <c r="H13" s="5">
        <v>2340.17</v>
      </c>
      <c r="I13" s="39">
        <f t="shared" si="0"/>
        <v>2340.17</v>
      </c>
    </row>
    <row r="14" spans="1:17" ht="35.25" customHeight="1" x14ac:dyDescent="0.25">
      <c r="A14" s="15" t="str">
        <f t="shared" si="1"/>
        <v>001.4</v>
      </c>
      <c r="B14" s="30" t="s">
        <v>182</v>
      </c>
      <c r="C14" s="81" t="s">
        <v>217</v>
      </c>
      <c r="D14" s="30" t="s">
        <v>172</v>
      </c>
      <c r="E14" s="104" t="s">
        <v>190</v>
      </c>
      <c r="F14" s="15" t="s">
        <v>28</v>
      </c>
      <c r="G14" s="14">
        <f>'Memória de cálculo - Composição'!I22</f>
        <v>2.0699999999999998</v>
      </c>
      <c r="H14" s="5">
        <v>682.74</v>
      </c>
      <c r="I14" s="39">
        <f t="shared" si="0"/>
        <v>1413.27</v>
      </c>
    </row>
    <row r="15" spans="1:17" ht="25.5" customHeight="1" x14ac:dyDescent="0.25">
      <c r="A15" s="15" t="str">
        <f t="shared" si="1"/>
        <v>001.5</v>
      </c>
      <c r="B15" s="30" t="s">
        <v>182</v>
      </c>
      <c r="C15" s="81">
        <v>92803</v>
      </c>
      <c r="D15" s="30" t="s">
        <v>180</v>
      </c>
      <c r="E15" s="104" t="s">
        <v>191</v>
      </c>
      <c r="F15" s="15" t="s">
        <v>31</v>
      </c>
      <c r="G15" s="14">
        <f>'Memória de cálculo - Composição'!I27</f>
        <v>49.76</v>
      </c>
      <c r="H15" s="5">
        <v>11.72</v>
      </c>
      <c r="I15" s="39">
        <f t="shared" si="0"/>
        <v>583.19000000000005</v>
      </c>
    </row>
    <row r="16" spans="1:17" ht="35.25" customHeight="1" x14ac:dyDescent="0.25">
      <c r="A16" s="15" t="str">
        <f t="shared" si="1"/>
        <v>001.6</v>
      </c>
      <c r="B16" s="30" t="s">
        <v>182</v>
      </c>
      <c r="C16" s="81">
        <v>87299</v>
      </c>
      <c r="D16" s="30" t="s">
        <v>180</v>
      </c>
      <c r="E16" s="104" t="s">
        <v>192</v>
      </c>
      <c r="F16" s="15" t="s">
        <v>27</v>
      </c>
      <c r="G16" s="14">
        <f>'Memória de cálculo - Composição'!I31</f>
        <v>0.28000000000000003</v>
      </c>
      <c r="H16" s="5">
        <v>429.9</v>
      </c>
      <c r="I16" s="39">
        <f t="shared" si="0"/>
        <v>120.37</v>
      </c>
    </row>
    <row r="17" spans="1:17" ht="25.5" customHeight="1" x14ac:dyDescent="0.25">
      <c r="A17" s="15" t="str">
        <f t="shared" si="1"/>
        <v>001.7</v>
      </c>
      <c r="B17" s="30" t="s">
        <v>182</v>
      </c>
      <c r="C17" s="81">
        <v>100066</v>
      </c>
      <c r="D17" s="30" t="s">
        <v>180</v>
      </c>
      <c r="E17" s="104" t="s">
        <v>193</v>
      </c>
      <c r="F17" s="15" t="s">
        <v>31</v>
      </c>
      <c r="G17" s="14">
        <f>'Memória de cálculo - Composição'!I35</f>
        <v>24.88</v>
      </c>
      <c r="H17" s="5">
        <v>14.32</v>
      </c>
      <c r="I17" s="39">
        <f t="shared" si="0"/>
        <v>356.28</v>
      </c>
    </row>
    <row r="18" spans="1:17" ht="16.5" customHeight="1" x14ac:dyDescent="0.25">
      <c r="A18" s="161" t="str">
        <f>"TOTAL - "&amp;G9</f>
        <v xml:space="preserve">TOTAL - </v>
      </c>
      <c r="B18" s="162"/>
      <c r="C18" s="162"/>
      <c r="D18" s="162"/>
      <c r="E18" s="162"/>
      <c r="F18" s="162"/>
      <c r="G18" s="162"/>
      <c r="H18" s="163"/>
      <c r="I18" s="41">
        <f>SUM(I11:I17)</f>
        <v>5853.28</v>
      </c>
    </row>
    <row r="19" spans="1:17" s="89" customFormat="1" ht="25.5" customHeight="1" x14ac:dyDescent="0.2">
      <c r="A19" s="53">
        <v>2</v>
      </c>
      <c r="B19" s="212" t="s">
        <v>187</v>
      </c>
      <c r="C19" s="213"/>
      <c r="D19" s="213"/>
      <c r="E19" s="213"/>
      <c r="F19" s="213"/>
      <c r="G19" s="214"/>
      <c r="H19" s="79" t="s">
        <v>27</v>
      </c>
      <c r="I19" s="34">
        <f>I29</f>
        <v>220.68</v>
      </c>
      <c r="Q19" s="90"/>
    </row>
    <row r="20" spans="1:17" s="89" customFormat="1" ht="16.5" customHeight="1" x14ac:dyDescent="0.2">
      <c r="A20" s="152" t="s">
        <v>4</v>
      </c>
      <c r="B20" s="152" t="s">
        <v>206</v>
      </c>
      <c r="C20" s="152" t="s">
        <v>207</v>
      </c>
      <c r="D20" s="80"/>
      <c r="E20" s="152" t="s">
        <v>186</v>
      </c>
      <c r="F20" s="152" t="s">
        <v>20</v>
      </c>
      <c r="G20" s="152" t="s">
        <v>21</v>
      </c>
      <c r="H20" s="152" t="s">
        <v>208</v>
      </c>
      <c r="I20" s="215" t="s">
        <v>209</v>
      </c>
      <c r="Q20" s="90"/>
    </row>
    <row r="21" spans="1:17" s="89" customFormat="1" ht="16.5" customHeight="1" x14ac:dyDescent="0.2">
      <c r="A21" s="153"/>
      <c r="B21" s="153"/>
      <c r="C21" s="153"/>
      <c r="D21" s="91"/>
      <c r="E21" s="153"/>
      <c r="F21" s="153"/>
      <c r="G21" s="153"/>
      <c r="H21" s="153"/>
      <c r="I21" s="216"/>
      <c r="Q21" s="90"/>
    </row>
    <row r="22" spans="1:17" s="89" customFormat="1" ht="25.5" customHeight="1" x14ac:dyDescent="0.2">
      <c r="A22" s="15" t="str">
        <f>"00"&amp;$A$19&amp;"."&amp;Q1</f>
        <v>002.1</v>
      </c>
      <c r="B22" s="40">
        <v>97102</v>
      </c>
      <c r="C22" s="81">
        <v>96624</v>
      </c>
      <c r="D22" s="30" t="s">
        <v>180</v>
      </c>
      <c r="E22" s="92" t="s">
        <v>210</v>
      </c>
      <c r="F22" s="15" t="s">
        <v>28</v>
      </c>
      <c r="G22" s="14">
        <v>0.1</v>
      </c>
      <c r="H22" s="5">
        <v>148.16</v>
      </c>
      <c r="I22" s="5">
        <f>G22*H22</f>
        <v>14.82</v>
      </c>
      <c r="Q22" s="90"/>
    </row>
    <row r="23" spans="1:17" s="89" customFormat="1" ht="25.5" customHeight="1" x14ac:dyDescent="0.2">
      <c r="A23" s="15" t="str">
        <f t="shared" ref="A23:A28" si="2">"00"&amp;$A$19&amp;"."&amp;Q2</f>
        <v>002.2</v>
      </c>
      <c r="B23" s="40">
        <v>97102</v>
      </c>
      <c r="C23" s="81">
        <v>97082</v>
      </c>
      <c r="D23" s="30" t="s">
        <v>180</v>
      </c>
      <c r="E23" s="92" t="s">
        <v>211</v>
      </c>
      <c r="F23" s="15" t="s">
        <v>28</v>
      </c>
      <c r="G23" s="14">
        <v>3.5000000000000003E-2</v>
      </c>
      <c r="H23" s="5">
        <v>47.07</v>
      </c>
      <c r="I23" s="5">
        <f t="shared" ref="I23:I28" si="3">G23*H23</f>
        <v>1.65</v>
      </c>
      <c r="Q23" s="90"/>
    </row>
    <row r="24" spans="1:17" s="89" customFormat="1" ht="25.5" customHeight="1" x14ac:dyDescent="0.2">
      <c r="A24" s="15" t="str">
        <f t="shared" si="2"/>
        <v>002.3</v>
      </c>
      <c r="B24" s="40">
        <v>97102</v>
      </c>
      <c r="C24" s="81">
        <v>97083</v>
      </c>
      <c r="D24" s="30" t="s">
        <v>180</v>
      </c>
      <c r="E24" s="92" t="s">
        <v>212</v>
      </c>
      <c r="F24" s="15" t="s">
        <v>27</v>
      </c>
      <c r="G24" s="14">
        <v>1</v>
      </c>
      <c r="H24" s="5">
        <v>2.6</v>
      </c>
      <c r="I24" s="5">
        <f t="shared" si="3"/>
        <v>2.6</v>
      </c>
      <c r="Q24" s="90"/>
    </row>
    <row r="25" spans="1:17" s="89" customFormat="1" ht="25.5" customHeight="1" x14ac:dyDescent="0.2">
      <c r="A25" s="15" t="str">
        <f t="shared" si="2"/>
        <v>002.4</v>
      </c>
      <c r="B25" s="40">
        <v>97102</v>
      </c>
      <c r="C25" s="81">
        <v>97086</v>
      </c>
      <c r="D25" s="30" t="s">
        <v>180</v>
      </c>
      <c r="E25" s="92" t="s">
        <v>213</v>
      </c>
      <c r="F25" s="15" t="s">
        <v>27</v>
      </c>
      <c r="G25" s="14">
        <v>0.06</v>
      </c>
      <c r="H25" s="5">
        <v>127.41</v>
      </c>
      <c r="I25" s="5">
        <f t="shared" si="3"/>
        <v>7.64</v>
      </c>
      <c r="Q25" s="90"/>
    </row>
    <row r="26" spans="1:17" s="89" customFormat="1" ht="25.5" customHeight="1" x14ac:dyDescent="0.2">
      <c r="A26" s="15" t="str">
        <f t="shared" si="2"/>
        <v>002.5</v>
      </c>
      <c r="B26" s="40">
        <v>97102</v>
      </c>
      <c r="C26" s="81">
        <v>97087</v>
      </c>
      <c r="D26" s="30" t="s">
        <v>180</v>
      </c>
      <c r="E26" s="92" t="s">
        <v>214</v>
      </c>
      <c r="F26" s="15" t="s">
        <v>27</v>
      </c>
      <c r="G26" s="14">
        <v>1</v>
      </c>
      <c r="H26" s="5">
        <v>2.62</v>
      </c>
      <c r="I26" s="5">
        <f t="shared" si="3"/>
        <v>2.62</v>
      </c>
      <c r="Q26" s="90"/>
    </row>
    <row r="27" spans="1:17" s="89" customFormat="1" ht="25.5" customHeight="1" x14ac:dyDescent="0.2">
      <c r="A27" s="15" t="str">
        <f t="shared" si="2"/>
        <v>002.6</v>
      </c>
      <c r="B27" s="40">
        <v>97102</v>
      </c>
      <c r="C27" s="81">
        <v>97092</v>
      </c>
      <c r="D27" s="30" t="s">
        <v>180</v>
      </c>
      <c r="E27" s="92" t="s">
        <v>215</v>
      </c>
      <c r="F27" s="15" t="s">
        <v>31</v>
      </c>
      <c r="G27" s="14">
        <v>4.4000000000000004</v>
      </c>
      <c r="H27" s="5">
        <v>20.21</v>
      </c>
      <c r="I27" s="5">
        <f t="shared" si="3"/>
        <v>88.92</v>
      </c>
      <c r="Q27" s="90"/>
    </row>
    <row r="28" spans="1:17" s="89" customFormat="1" ht="25.5" customHeight="1" x14ac:dyDescent="0.2">
      <c r="A28" s="15" t="str">
        <f t="shared" si="2"/>
        <v>002.7</v>
      </c>
      <c r="B28" s="40">
        <v>97102</v>
      </c>
      <c r="C28" s="81">
        <v>97096</v>
      </c>
      <c r="D28" s="30" t="s">
        <v>180</v>
      </c>
      <c r="E28" s="78" t="s">
        <v>216</v>
      </c>
      <c r="F28" s="15" t="s">
        <v>28</v>
      </c>
      <c r="G28" s="14">
        <v>0.15</v>
      </c>
      <c r="H28" s="5">
        <v>682.86</v>
      </c>
      <c r="I28" s="5">
        <f t="shared" si="3"/>
        <v>102.43</v>
      </c>
      <c r="Q28" s="90"/>
    </row>
    <row r="29" spans="1:17" ht="16.5" customHeight="1" x14ac:dyDescent="0.25">
      <c r="A29" s="156" t="str">
        <f>"TOTAL - "&amp;H19</f>
        <v>TOTAL - M2</v>
      </c>
      <c r="B29" s="156"/>
      <c r="C29" s="156"/>
      <c r="D29" s="156"/>
      <c r="E29" s="156"/>
      <c r="F29" s="156"/>
      <c r="G29" s="156"/>
      <c r="H29" s="156"/>
      <c r="I29" s="41">
        <f>SUM(I22:I28)</f>
        <v>220.68</v>
      </c>
      <c r="Q29" s="93"/>
    </row>
    <row r="30" spans="1:17" ht="25.5" customHeight="1" x14ac:dyDescent="0.25">
      <c r="A30" s="53">
        <v>3</v>
      </c>
      <c r="B30" s="212" t="str">
        <f>'Plan. Orçamentária'!D36</f>
        <v>Caixa de passagem para drenagem pluvial, em alvenaria de blocos de concreto, cheios em concreto Fck ≥ 20MPa, dimensões internas de 100X100cm, altura ≤ 250cm, para rede DN 400mm e DN600mm, com tampa de concreto armado e reboco interno, incluindo escavação e reaterro compactado, conforme projeto</v>
      </c>
      <c r="C30" s="213"/>
      <c r="D30" s="213"/>
      <c r="E30" s="213"/>
      <c r="F30" s="213"/>
      <c r="G30" s="214"/>
      <c r="H30" s="95" t="s">
        <v>29</v>
      </c>
      <c r="I30" s="34">
        <f>I39</f>
        <v>5634.74</v>
      </c>
    </row>
    <row r="31" spans="1:17" ht="25.5" customHeight="1" x14ac:dyDescent="0.25">
      <c r="A31" s="95" t="s">
        <v>4</v>
      </c>
      <c r="B31" s="95" t="s">
        <v>127</v>
      </c>
      <c r="C31" s="95" t="s">
        <v>128</v>
      </c>
      <c r="D31" s="95" t="s">
        <v>129</v>
      </c>
      <c r="E31" s="96" t="s">
        <v>186</v>
      </c>
      <c r="F31" s="96" t="s">
        <v>20</v>
      </c>
      <c r="G31" s="96" t="s">
        <v>21</v>
      </c>
      <c r="H31" s="96" t="s">
        <v>130</v>
      </c>
      <c r="I31" s="34" t="s">
        <v>131</v>
      </c>
    </row>
    <row r="32" spans="1:17" ht="25.5" customHeight="1" x14ac:dyDescent="0.25">
      <c r="A32" s="15" t="str">
        <f>"00"&amp;$A$30&amp;"."&amp;Q1</f>
        <v>003.1</v>
      </c>
      <c r="B32" s="30" t="s">
        <v>182</v>
      </c>
      <c r="C32" s="81" t="str">
        <f>"COMP-PMNE-00"&amp;A19</f>
        <v>COMP-PMNE-002</v>
      </c>
      <c r="D32" s="30" t="s">
        <v>182</v>
      </c>
      <c r="E32" s="94" t="str">
        <f>B19</f>
        <v>Execução de radier, espessura de 15 cm, Fck = 30 MPa, com uso de formas em madeira serrada inclusive execução de lastro com material granular (pedra britada n.2), escavação manual e compactação mecânica de solo</v>
      </c>
      <c r="F32" s="15" t="str">
        <f>H19</f>
        <v>M2</v>
      </c>
      <c r="G32" s="14">
        <f>'Memória de cálculo - Composição'!I40</f>
        <v>1.96</v>
      </c>
      <c r="H32" s="5">
        <f>I29</f>
        <v>220.68</v>
      </c>
      <c r="I32" s="5">
        <f t="shared" ref="I32:I38" si="4">G32*H32</f>
        <v>432.53</v>
      </c>
    </row>
    <row r="33" spans="1:9" ht="25.5" customHeight="1" x14ac:dyDescent="0.25">
      <c r="A33" s="15" t="str">
        <f t="shared" ref="A33:A38" si="5">"00"&amp;$A$30&amp;"."&amp;Q2</f>
        <v>003.2</v>
      </c>
      <c r="B33" s="30" t="s">
        <v>182</v>
      </c>
      <c r="C33" s="81">
        <v>92803</v>
      </c>
      <c r="D33" s="30" t="s">
        <v>180</v>
      </c>
      <c r="E33" s="94" t="s">
        <v>188</v>
      </c>
      <c r="F33" s="15" t="s">
        <v>31</v>
      </c>
      <c r="G33" s="14">
        <f>'Memória de cálculo - Composição'!I45</f>
        <v>49.76</v>
      </c>
      <c r="H33" s="5">
        <v>11.72</v>
      </c>
      <c r="I33" s="5">
        <f t="shared" si="4"/>
        <v>583.19000000000005</v>
      </c>
    </row>
    <row r="34" spans="1:9" ht="25.5" customHeight="1" x14ac:dyDescent="0.25">
      <c r="A34" s="15" t="str">
        <f t="shared" si="5"/>
        <v>003.3</v>
      </c>
      <c r="B34" s="30" t="s">
        <v>182</v>
      </c>
      <c r="C34" s="81">
        <v>99252</v>
      </c>
      <c r="D34" s="30" t="s">
        <v>180</v>
      </c>
      <c r="E34" s="98" t="s">
        <v>220</v>
      </c>
      <c r="F34" s="15" t="s">
        <v>29</v>
      </c>
      <c r="G34" s="14">
        <v>1</v>
      </c>
      <c r="H34" s="5">
        <v>2340.17</v>
      </c>
      <c r="I34" s="5">
        <f t="shared" si="4"/>
        <v>2340.17</v>
      </c>
    </row>
    <row r="35" spans="1:9" ht="25.5" customHeight="1" x14ac:dyDescent="0.25">
      <c r="A35" s="15" t="str">
        <f t="shared" si="5"/>
        <v>003.4</v>
      </c>
      <c r="B35" s="30" t="s">
        <v>182</v>
      </c>
      <c r="C35" s="81" t="s">
        <v>217</v>
      </c>
      <c r="D35" s="30" t="s">
        <v>172</v>
      </c>
      <c r="E35" s="94" t="s">
        <v>190</v>
      </c>
      <c r="F35" s="15" t="s">
        <v>28</v>
      </c>
      <c r="G35" s="14">
        <f>'Memória de cálculo - Composição'!I49</f>
        <v>1.96</v>
      </c>
      <c r="H35" s="5">
        <v>682.74</v>
      </c>
      <c r="I35" s="5">
        <f t="shared" si="4"/>
        <v>1338.17</v>
      </c>
    </row>
    <row r="36" spans="1:9" ht="25.5" customHeight="1" x14ac:dyDescent="0.25">
      <c r="A36" s="15" t="str">
        <f t="shared" si="5"/>
        <v>003.5</v>
      </c>
      <c r="B36" s="30" t="s">
        <v>182</v>
      </c>
      <c r="C36" s="81">
        <v>92803</v>
      </c>
      <c r="D36" s="30" t="s">
        <v>180</v>
      </c>
      <c r="E36" s="94" t="s">
        <v>221</v>
      </c>
      <c r="F36" s="15" t="s">
        <v>31</v>
      </c>
      <c r="G36" s="14">
        <f>'Memória de cálculo - Composição'!I54</f>
        <v>49.76</v>
      </c>
      <c r="H36" s="5">
        <v>11.72</v>
      </c>
      <c r="I36" s="5">
        <f t="shared" si="4"/>
        <v>583.19000000000005</v>
      </c>
    </row>
    <row r="37" spans="1:9" ht="25.5" customHeight="1" x14ac:dyDescent="0.25">
      <c r="A37" s="15" t="str">
        <f t="shared" si="5"/>
        <v>003.6</v>
      </c>
      <c r="B37" s="30" t="s">
        <v>182</v>
      </c>
      <c r="C37" s="81">
        <v>87299</v>
      </c>
      <c r="D37" s="30" t="s">
        <v>180</v>
      </c>
      <c r="E37" s="94" t="s">
        <v>192</v>
      </c>
      <c r="F37" s="15" t="s">
        <v>28</v>
      </c>
      <c r="G37" s="14">
        <f>'Memória de cálculo - Composição'!I58</f>
        <v>0.21</v>
      </c>
      <c r="H37" s="5">
        <v>429.9</v>
      </c>
      <c r="I37" s="5">
        <f t="shared" si="4"/>
        <v>90.28</v>
      </c>
    </row>
    <row r="38" spans="1:9" ht="25.5" customHeight="1" x14ac:dyDescent="0.25">
      <c r="A38" s="15" t="str">
        <f t="shared" si="5"/>
        <v>003.7</v>
      </c>
      <c r="B38" s="30" t="s">
        <v>182</v>
      </c>
      <c r="C38" s="81">
        <v>100066</v>
      </c>
      <c r="D38" s="30" t="s">
        <v>180</v>
      </c>
      <c r="E38" s="94" t="s">
        <v>193</v>
      </c>
      <c r="F38" s="15" t="s">
        <v>31</v>
      </c>
      <c r="G38" s="14">
        <f>'Memória de cálculo - Composição'!I62</f>
        <v>18.66</v>
      </c>
      <c r="H38" s="5">
        <v>14.32</v>
      </c>
      <c r="I38" s="5">
        <f t="shared" si="4"/>
        <v>267.20999999999998</v>
      </c>
    </row>
    <row r="39" spans="1:9" ht="25.5" customHeight="1" x14ac:dyDescent="0.25">
      <c r="A39" s="156" t="str">
        <f>"TOTAL - "&amp;H30</f>
        <v>TOTAL - UN</v>
      </c>
      <c r="B39" s="156"/>
      <c r="C39" s="156"/>
      <c r="D39" s="156"/>
      <c r="E39" s="156"/>
      <c r="F39" s="156"/>
      <c r="G39" s="156"/>
      <c r="H39" s="156"/>
      <c r="I39" s="41">
        <f>SUM(I32:I38)</f>
        <v>5634.74</v>
      </c>
    </row>
  </sheetData>
  <mergeCells count="23">
    <mergeCell ref="A4:I4"/>
    <mergeCell ref="A1:I3"/>
    <mergeCell ref="B9:G9"/>
    <mergeCell ref="A6:A7"/>
    <mergeCell ref="A5:I5"/>
    <mergeCell ref="I6:I7"/>
    <mergeCell ref="H6:H7"/>
    <mergeCell ref="B6:F7"/>
    <mergeCell ref="G6:G7"/>
    <mergeCell ref="A8:I8"/>
    <mergeCell ref="B30:G30"/>
    <mergeCell ref="A39:H39"/>
    <mergeCell ref="H20:H21"/>
    <mergeCell ref="I20:I21"/>
    <mergeCell ref="A18:H18"/>
    <mergeCell ref="A29:H29"/>
    <mergeCell ref="B19:G19"/>
    <mergeCell ref="A20:A21"/>
    <mergeCell ref="B20:B21"/>
    <mergeCell ref="C20:C21"/>
    <mergeCell ref="E20:E21"/>
    <mergeCell ref="F20:F21"/>
    <mergeCell ref="G20:G21"/>
  </mergeCells>
  <phoneticPr fontId="16" type="noConversion"/>
  <pageMargins left="0.19685039370078741" right="0.19685039370078741" top="0.19685039370078741" bottom="1.1811023622047245" header="0.31496062992125984" footer="0.31496062992125984"/>
  <pageSetup paperSize="9" scale="72" fitToHeight="0" orientation="landscape" verticalDpi="4294967295" r:id="rId1"/>
  <headerFooter>
    <oddFooter>Página &amp;P de &amp;N</oddFooter>
  </headerFooter>
  <rowBreaks count="1" manualBreakCount="1">
    <brk id="29"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7"/>
  <sheetViews>
    <sheetView view="pageBreakPreview" zoomScaleNormal="100" zoomScaleSheetLayoutView="100" workbookViewId="0">
      <selection activeCell="A13" sqref="A13:H13"/>
    </sheetView>
  </sheetViews>
  <sheetFormatPr defaultRowHeight="15" x14ac:dyDescent="0.25"/>
  <cols>
    <col min="2" max="2" width="80.5703125" customWidth="1"/>
    <col min="3" max="9" width="18.7109375" customWidth="1"/>
  </cols>
  <sheetData>
    <row r="1" spans="1:9" s="9" customFormat="1" ht="16.5" customHeight="1" x14ac:dyDescent="0.2">
      <c r="A1" s="218" t="s">
        <v>25</v>
      </c>
      <c r="B1" s="218"/>
      <c r="C1" s="218"/>
      <c r="D1" s="218"/>
      <c r="E1" s="218"/>
      <c r="F1" s="218"/>
      <c r="G1" s="218"/>
      <c r="H1" s="218"/>
      <c r="I1" s="218"/>
    </row>
    <row r="2" spans="1:9" s="9" customFormat="1" ht="16.5" customHeight="1" x14ac:dyDescent="0.2">
      <c r="A2" s="218"/>
      <c r="B2" s="218"/>
      <c r="C2" s="218"/>
      <c r="D2" s="218"/>
      <c r="E2" s="218"/>
      <c r="F2" s="218"/>
      <c r="G2" s="218"/>
      <c r="H2" s="218"/>
      <c r="I2" s="218"/>
    </row>
    <row r="3" spans="1:9" s="9" customFormat="1" ht="16.5" customHeight="1" x14ac:dyDescent="0.2">
      <c r="A3" s="218"/>
      <c r="B3" s="218"/>
      <c r="C3" s="218"/>
      <c r="D3" s="218"/>
      <c r="E3" s="218"/>
      <c r="F3" s="218"/>
      <c r="G3" s="218"/>
      <c r="H3" s="218"/>
      <c r="I3" s="218"/>
    </row>
    <row r="4" spans="1:9" s="9" customFormat="1" ht="16.5" customHeight="1" x14ac:dyDescent="0.2">
      <c r="A4" s="217" t="str">
        <f>'Plan. Orçamentária'!A4:I4</f>
        <v>OBRA POR EXECUÇÃO INDIRETA</v>
      </c>
      <c r="B4" s="217"/>
      <c r="C4" s="217"/>
      <c r="D4" s="217"/>
      <c r="E4" s="217"/>
      <c r="F4" s="217"/>
      <c r="G4" s="217"/>
      <c r="H4" s="217"/>
      <c r="I4" s="217"/>
    </row>
    <row r="5" spans="1:9" s="9" customFormat="1" ht="16.5" customHeight="1" x14ac:dyDescent="0.2">
      <c r="A5" s="219" t="str">
        <f>'Plan. Orçamentária'!A5:I5</f>
        <v xml:space="preserve"> Setor requisitante: Secretaria Municipal de Obras e Serviços Urbanos</v>
      </c>
      <c r="B5" s="219"/>
      <c r="C5" s="219"/>
      <c r="D5" s="219"/>
      <c r="E5" s="219"/>
      <c r="F5" s="219"/>
      <c r="G5" s="219"/>
      <c r="H5" s="219"/>
      <c r="I5" s="219"/>
    </row>
    <row r="6" spans="1:9" s="9" customFormat="1" ht="16.5" customHeight="1" x14ac:dyDescent="0.2">
      <c r="A6" s="219" t="str">
        <f>'Plan. Orçamentária'!A6:B7</f>
        <v>Objeto:</v>
      </c>
      <c r="B6" s="222" t="str">
        <f>'Plan. Orçamentária'!C6</f>
        <v>LOTE 03 - Pavimentação de via em piso de concreto pré-moldado intertravado, tipo Sextavado - Rua Antônio Muzzi e Rua Vicente Augusto, bairro Santa Maria - Nova Era/MG</v>
      </c>
      <c r="C6" s="222"/>
      <c r="D6" s="222"/>
      <c r="E6" s="222"/>
      <c r="F6" s="222"/>
      <c r="G6" s="220" t="str">
        <f>'Plan. Orçamentária'!G6:G7</f>
        <v>BDI:</v>
      </c>
      <c r="H6" s="221">
        <f>'Plan. Orçamentária'!H6:H7</f>
        <v>0.30380000000000001</v>
      </c>
      <c r="I6" s="220">
        <f ca="1">'Plan. Orçamentária'!I6:I7</f>
        <v>44887</v>
      </c>
    </row>
    <row r="7" spans="1:9" s="9" customFormat="1" ht="16.5" customHeight="1" x14ac:dyDescent="0.2">
      <c r="A7" s="219"/>
      <c r="B7" s="222"/>
      <c r="C7" s="222"/>
      <c r="D7" s="222"/>
      <c r="E7" s="222"/>
      <c r="F7" s="222"/>
      <c r="G7" s="220"/>
      <c r="H7" s="220"/>
      <c r="I7" s="220"/>
    </row>
    <row r="8" spans="1:9" s="9" customFormat="1" ht="16.5" customHeight="1" x14ac:dyDescent="0.2">
      <c r="A8" s="231" t="s">
        <v>36</v>
      </c>
      <c r="B8" s="232"/>
      <c r="C8" s="232"/>
      <c r="D8" s="232"/>
      <c r="E8" s="232"/>
      <c r="F8" s="232"/>
      <c r="G8" s="232"/>
      <c r="H8" s="232"/>
      <c r="I8" s="232"/>
    </row>
    <row r="9" spans="1:9" s="12" customFormat="1" ht="31.5" customHeight="1" x14ac:dyDescent="0.25">
      <c r="A9" s="82">
        <f>'C.P.U.'!A9</f>
        <v>1</v>
      </c>
      <c r="B9" s="235" t="str">
        <f>'C.P.U.'!B9</f>
        <v>Poço de visita para drenagem pluvial em alvenaria de blocos de concreto, cheios em concreto Fck ≥ 20MPa, dimensões internas de 100X100cm, altura de 150 cm a 300 cm (varíável de acordo com perfil da rede), para rede DN 400mm e DN600mm, com tampa de concreto armado e reboco interno, incluindo escavação e reaterro compactado, conforme projeto</v>
      </c>
      <c r="C9" s="235"/>
      <c r="D9" s="235"/>
      <c r="E9" s="235"/>
      <c r="F9" s="235"/>
      <c r="G9" s="235"/>
      <c r="H9" s="235"/>
      <c r="I9" s="235"/>
    </row>
    <row r="10" spans="1:9" s="12" customFormat="1" ht="16.5" customHeight="1" x14ac:dyDescent="0.25">
      <c r="A10" s="83" t="str">
        <f>'C.P.U.'!A11</f>
        <v>001.1</v>
      </c>
      <c r="B10" s="233" t="str">
        <f>'C.P.U.'!E11</f>
        <v>Execução de radier, espessura de 15 cm, Fck = 30 MPa, com uso de formas em madeira serrada inclusive execução de lastro com material granular (pedra britada n.2), escavação manual e compactação mecânica de solo</v>
      </c>
      <c r="C10" s="233"/>
      <c r="D10" s="233"/>
      <c r="E10" s="233"/>
      <c r="F10" s="233"/>
      <c r="G10" s="233"/>
      <c r="H10" s="233"/>
      <c r="I10" s="233"/>
    </row>
    <row r="11" spans="1:9" s="12" customFormat="1" ht="16.5" customHeight="1" x14ac:dyDescent="0.25">
      <c r="A11" s="178" t="s">
        <v>12</v>
      </c>
      <c r="B11" s="178"/>
      <c r="C11" s="11" t="s">
        <v>13</v>
      </c>
      <c r="D11" s="11" t="s">
        <v>14</v>
      </c>
      <c r="E11" s="11" t="s">
        <v>15</v>
      </c>
      <c r="F11" s="11" t="s">
        <v>118</v>
      </c>
      <c r="G11" s="11" t="s">
        <v>194</v>
      </c>
      <c r="H11" s="11" t="s">
        <v>26</v>
      </c>
      <c r="I11" s="11" t="s">
        <v>19</v>
      </c>
    </row>
    <row r="12" spans="1:9" s="12" customFormat="1" ht="16.5" customHeight="1" x14ac:dyDescent="0.25">
      <c r="A12" s="234" t="s">
        <v>195</v>
      </c>
      <c r="B12" s="234"/>
      <c r="C12" s="84">
        <v>1.44</v>
      </c>
      <c r="D12" s="84">
        <v>1.44</v>
      </c>
      <c r="E12" s="84"/>
      <c r="F12" s="84"/>
      <c r="G12" s="84"/>
      <c r="H12" s="85"/>
      <c r="I12" s="84">
        <f>PRODUCT(C12:H12)</f>
        <v>2.0699999999999998</v>
      </c>
    </row>
    <row r="13" spans="1:9" s="12" customFormat="1" ht="16.5" customHeight="1" x14ac:dyDescent="0.25">
      <c r="A13" s="178" t="str">
        <f>"TOTAL - "&amp;[2]Composição!F21</f>
        <v>TOTAL - M3</v>
      </c>
      <c r="B13" s="178"/>
      <c r="C13" s="178"/>
      <c r="D13" s="178"/>
      <c r="E13" s="178"/>
      <c r="F13" s="178"/>
      <c r="G13" s="178"/>
      <c r="H13" s="178"/>
      <c r="I13" s="86">
        <f>SUM(I12)</f>
        <v>2.0699999999999998</v>
      </c>
    </row>
    <row r="14" spans="1:9" s="12" customFormat="1" ht="16.5" customHeight="1" x14ac:dyDescent="0.25">
      <c r="A14" s="83" t="str">
        <f>'C.P.U.'!A12</f>
        <v>001.2</v>
      </c>
      <c r="B14" s="233" t="str">
        <f>'C.P.U.'!E12</f>
        <v>Corte e dobra de aço CA-50, diâmetro de 10,0 mm (0,617kg/m), utilizado em estrutura diversas (Armadura positiva e negativa em duas direções para radier)</v>
      </c>
      <c r="C14" s="233"/>
      <c r="D14" s="233"/>
      <c r="E14" s="233"/>
      <c r="F14" s="233"/>
      <c r="G14" s="233"/>
      <c r="H14" s="233"/>
      <c r="I14" s="233"/>
    </row>
    <row r="15" spans="1:9" s="12" customFormat="1" ht="16.5" customHeight="1" x14ac:dyDescent="0.25">
      <c r="A15" s="178" t="s">
        <v>12</v>
      </c>
      <c r="B15" s="178"/>
      <c r="C15" s="11" t="s">
        <v>13</v>
      </c>
      <c r="D15" s="11" t="s">
        <v>14</v>
      </c>
      <c r="E15" s="11" t="s">
        <v>15</v>
      </c>
      <c r="F15" s="11" t="s">
        <v>118</v>
      </c>
      <c r="G15" s="11" t="s">
        <v>196</v>
      </c>
      <c r="H15" s="11" t="s">
        <v>197</v>
      </c>
      <c r="I15" s="11" t="s">
        <v>19</v>
      </c>
    </row>
    <row r="16" spans="1:9" s="12" customFormat="1" ht="16.5" customHeight="1" x14ac:dyDescent="0.25">
      <c r="A16" s="234" t="s">
        <v>198</v>
      </c>
      <c r="B16" s="234"/>
      <c r="C16" s="84">
        <v>1.44</v>
      </c>
      <c r="D16" s="84"/>
      <c r="E16" s="84"/>
      <c r="F16" s="84">
        <v>14</v>
      </c>
      <c r="G16" s="84">
        <v>2</v>
      </c>
      <c r="H16" s="87">
        <v>0.61699999999999999</v>
      </c>
      <c r="I16" s="84">
        <f>PRODUCT(C16:H16)</f>
        <v>24.88</v>
      </c>
    </row>
    <row r="17" spans="1:9" s="12" customFormat="1" ht="16.5" customHeight="1" x14ac:dyDescent="0.25">
      <c r="A17" s="234" t="s">
        <v>199</v>
      </c>
      <c r="B17" s="234"/>
      <c r="C17" s="84">
        <v>1.44</v>
      </c>
      <c r="D17" s="84"/>
      <c r="E17" s="84"/>
      <c r="F17" s="84">
        <v>14</v>
      </c>
      <c r="G17" s="84">
        <v>2</v>
      </c>
      <c r="H17" s="87">
        <v>0.61699999999999999</v>
      </c>
      <c r="I17" s="84">
        <f>PRODUCT(C17:H17)</f>
        <v>24.88</v>
      </c>
    </row>
    <row r="18" spans="1:9" s="12" customFormat="1" ht="16.5" customHeight="1" x14ac:dyDescent="0.25">
      <c r="A18" s="178" t="str">
        <f>"TOTAL - "&amp;[2]Composição!F22</f>
        <v>TOTAL - M2</v>
      </c>
      <c r="B18" s="178"/>
      <c r="C18" s="178"/>
      <c r="D18" s="178"/>
      <c r="E18" s="178"/>
      <c r="F18" s="178"/>
      <c r="G18" s="178"/>
      <c r="H18" s="178"/>
      <c r="I18" s="86">
        <f>SUM(I16:I17)</f>
        <v>49.76</v>
      </c>
    </row>
    <row r="19" spans="1:9" s="12" customFormat="1" ht="16.5" customHeight="1" x14ac:dyDescent="0.25">
      <c r="A19" s="83" t="str">
        <f>'C.P.U.'!A14</f>
        <v>001.4</v>
      </c>
      <c r="B19" s="233" t="str">
        <f>'C.P.U.'!E14</f>
        <v>Confecção de tampa em concreto armado, com armadura de ø 10,00 mm em duas direções, para poço de visita, Fck ≥ 35 MPa, inclusive lançamento de concreto, adensamento com vibrador de imersão, acabamento e formas</v>
      </c>
      <c r="C19" s="233"/>
      <c r="D19" s="233"/>
      <c r="E19" s="233"/>
      <c r="F19" s="233"/>
      <c r="G19" s="233"/>
      <c r="H19" s="233"/>
      <c r="I19" s="233"/>
    </row>
    <row r="20" spans="1:9" s="12" customFormat="1" ht="16.5" customHeight="1" x14ac:dyDescent="0.25">
      <c r="A20" s="178" t="s">
        <v>12</v>
      </c>
      <c r="B20" s="178"/>
      <c r="C20" s="11" t="s">
        <v>13</v>
      </c>
      <c r="D20" s="11" t="s">
        <v>14</v>
      </c>
      <c r="E20" s="11" t="s">
        <v>15</v>
      </c>
      <c r="F20" s="11" t="s">
        <v>118</v>
      </c>
      <c r="G20" s="11" t="s">
        <v>194</v>
      </c>
      <c r="H20" s="11" t="s">
        <v>26</v>
      </c>
      <c r="I20" s="11" t="s">
        <v>19</v>
      </c>
    </row>
    <row r="21" spans="1:9" s="12" customFormat="1" ht="16.5" customHeight="1" x14ac:dyDescent="0.25">
      <c r="A21" s="234" t="s">
        <v>200</v>
      </c>
      <c r="B21" s="234"/>
      <c r="C21" s="84">
        <v>1.44</v>
      </c>
      <c r="D21" s="84">
        <v>1.44</v>
      </c>
      <c r="E21" s="84"/>
      <c r="F21" s="84"/>
      <c r="G21" s="84"/>
      <c r="H21" s="85"/>
      <c r="I21" s="84">
        <f>PRODUCT(C21:H21)</f>
        <v>2.0699999999999998</v>
      </c>
    </row>
    <row r="22" spans="1:9" s="12" customFormat="1" ht="16.5" customHeight="1" x14ac:dyDescent="0.25">
      <c r="A22" s="178" t="str">
        <f>"TOTAL - "&amp;[2]Composição!F24</f>
        <v>TOTAL - M2</v>
      </c>
      <c r="B22" s="178"/>
      <c r="C22" s="178"/>
      <c r="D22" s="178"/>
      <c r="E22" s="178"/>
      <c r="F22" s="178"/>
      <c r="G22" s="178"/>
      <c r="H22" s="178"/>
      <c r="I22" s="86">
        <f>SUM(I21)</f>
        <v>2.0699999999999998</v>
      </c>
    </row>
    <row r="23" spans="1:9" s="12" customFormat="1" ht="16.5" customHeight="1" x14ac:dyDescent="0.25">
      <c r="A23" s="83" t="str">
        <f>'C.P.U.'!A15</f>
        <v>001.5</v>
      </c>
      <c r="B23" s="233" t="str">
        <f>'C.P.U.'!E15</f>
        <v>Corte e dobra de aço CA-50, diâmetro de 10,0 mm (0,617kg/m), utilizado em estrutura diversas (Armadura positiva e negativa em duas direções para tampa de concreto</v>
      </c>
      <c r="C23" s="233"/>
      <c r="D23" s="233"/>
      <c r="E23" s="233"/>
      <c r="F23" s="233"/>
      <c r="G23" s="233"/>
      <c r="H23" s="233"/>
      <c r="I23" s="233"/>
    </row>
    <row r="24" spans="1:9" s="12" customFormat="1" ht="16.5" customHeight="1" x14ac:dyDescent="0.25">
      <c r="A24" s="178" t="s">
        <v>12</v>
      </c>
      <c r="B24" s="178"/>
      <c r="C24" s="11" t="s">
        <v>13</v>
      </c>
      <c r="D24" s="11" t="s">
        <v>14</v>
      </c>
      <c r="E24" s="11" t="s">
        <v>15</v>
      </c>
      <c r="F24" s="11" t="s">
        <v>118</v>
      </c>
      <c r="G24" s="11" t="s">
        <v>196</v>
      </c>
      <c r="H24" s="11" t="s">
        <v>201</v>
      </c>
      <c r="I24" s="11" t="s">
        <v>19</v>
      </c>
    </row>
    <row r="25" spans="1:9" s="12" customFormat="1" ht="16.5" customHeight="1" x14ac:dyDescent="0.25">
      <c r="A25" s="234" t="s">
        <v>202</v>
      </c>
      <c r="B25" s="234"/>
      <c r="C25" s="84">
        <v>1.44</v>
      </c>
      <c r="D25" s="84"/>
      <c r="E25" s="84"/>
      <c r="F25" s="84">
        <v>14</v>
      </c>
      <c r="G25" s="84">
        <v>2</v>
      </c>
      <c r="H25" s="87">
        <v>0.61699999999999999</v>
      </c>
      <c r="I25" s="84">
        <f>PRODUCT(C25:H25)</f>
        <v>24.88</v>
      </c>
    </row>
    <row r="26" spans="1:9" s="12" customFormat="1" ht="16.5" customHeight="1" x14ac:dyDescent="0.25">
      <c r="A26" s="234" t="s">
        <v>203</v>
      </c>
      <c r="B26" s="234"/>
      <c r="C26" s="84">
        <v>1.44</v>
      </c>
      <c r="D26" s="84"/>
      <c r="E26" s="84"/>
      <c r="F26" s="84">
        <v>14</v>
      </c>
      <c r="G26" s="84">
        <v>2</v>
      </c>
      <c r="H26" s="87">
        <v>0.61699999999999999</v>
      </c>
      <c r="I26" s="84">
        <f>PRODUCT(C26:H26)</f>
        <v>24.88</v>
      </c>
    </row>
    <row r="27" spans="1:9" s="12" customFormat="1" ht="16.5" customHeight="1" x14ac:dyDescent="0.25">
      <c r="A27" s="178" t="str">
        <f>"TOTAL - "&amp;[2]Composição!F25</f>
        <v>TOTAL - KG</v>
      </c>
      <c r="B27" s="178"/>
      <c r="C27" s="178"/>
      <c r="D27" s="178"/>
      <c r="E27" s="178"/>
      <c r="F27" s="178"/>
      <c r="G27" s="178"/>
      <c r="H27" s="178"/>
      <c r="I27" s="86">
        <f>SUM(I25:I26)</f>
        <v>49.76</v>
      </c>
    </row>
    <row r="28" spans="1:9" s="12" customFormat="1" ht="16.5" customHeight="1" x14ac:dyDescent="0.25">
      <c r="A28" s="83" t="str">
        <f>'C.P.U.'!A16</f>
        <v>001.6</v>
      </c>
      <c r="B28" s="233" t="str">
        <f>'C.P.U.'!E16</f>
        <v>Reboco, em argamassa traço 1:3 (Em volume de cimento e areia média úmida) para paredes internas, preparo mecânico com betoneira 600 L, aplicado manualmente em faces internas de paredes, espessura de 35 mm.</v>
      </c>
      <c r="C28" s="233"/>
      <c r="D28" s="233"/>
      <c r="E28" s="233"/>
      <c r="F28" s="233"/>
      <c r="G28" s="233"/>
      <c r="H28" s="233"/>
      <c r="I28" s="233"/>
    </row>
    <row r="29" spans="1:9" s="12" customFormat="1" ht="16.5" customHeight="1" x14ac:dyDescent="0.25">
      <c r="A29" s="178" t="s">
        <v>12</v>
      </c>
      <c r="B29" s="178"/>
      <c r="C29" s="11" t="s">
        <v>13</v>
      </c>
      <c r="D29" s="11" t="s">
        <v>14</v>
      </c>
      <c r="E29" s="11" t="s">
        <v>15</v>
      </c>
      <c r="F29" s="11" t="s">
        <v>17</v>
      </c>
      <c r="G29" s="11" t="s">
        <v>204</v>
      </c>
      <c r="H29" s="11" t="s">
        <v>26</v>
      </c>
      <c r="I29" s="11" t="s">
        <v>19</v>
      </c>
    </row>
    <row r="30" spans="1:9" s="12" customFormat="1" ht="16.5" customHeight="1" x14ac:dyDescent="0.25">
      <c r="A30" s="234" t="s">
        <v>205</v>
      </c>
      <c r="B30" s="234"/>
      <c r="C30" s="84"/>
      <c r="D30" s="84">
        <v>1</v>
      </c>
      <c r="E30" s="84">
        <v>2</v>
      </c>
      <c r="F30" s="84">
        <v>4</v>
      </c>
      <c r="G30" s="87">
        <v>3.5000000000000003E-2</v>
      </c>
      <c r="H30" s="85"/>
      <c r="I30" s="84">
        <f>PRODUCT(C30:H30)</f>
        <v>0.28000000000000003</v>
      </c>
    </row>
    <row r="31" spans="1:9" s="12" customFormat="1" ht="16.5" customHeight="1" x14ac:dyDescent="0.25">
      <c r="A31" s="178" t="str">
        <f>"TOTAL - "&amp;[2]Composição!F26</f>
        <v>TOTAL - M3</v>
      </c>
      <c r="B31" s="178"/>
      <c r="C31" s="178"/>
      <c r="D31" s="178"/>
      <c r="E31" s="178"/>
      <c r="F31" s="178"/>
      <c r="G31" s="178"/>
      <c r="H31" s="178"/>
      <c r="I31" s="86">
        <f>SUM(I30)</f>
        <v>0.28000000000000003</v>
      </c>
    </row>
    <row r="32" spans="1:9" s="12" customFormat="1" ht="16.5" customHeight="1" x14ac:dyDescent="0.25">
      <c r="A32" s="83" t="str">
        <f>'C.P.U.'!A17</f>
        <v>001.7</v>
      </c>
      <c r="B32" s="233" t="str">
        <f>'C.P.U.'!E17</f>
        <v>Armação do sistema de paredes com uso de tela Q-196 (3,11 kg/m2)</v>
      </c>
      <c r="C32" s="233"/>
      <c r="D32" s="233"/>
      <c r="E32" s="233"/>
      <c r="F32" s="233"/>
      <c r="G32" s="233"/>
      <c r="H32" s="233"/>
      <c r="I32" s="233"/>
    </row>
    <row r="33" spans="1:9" s="12" customFormat="1" ht="16.5" customHeight="1" x14ac:dyDescent="0.25">
      <c r="A33" s="178" t="s">
        <v>12</v>
      </c>
      <c r="B33" s="178"/>
      <c r="C33" s="11" t="s">
        <v>13</v>
      </c>
      <c r="D33" s="11" t="s">
        <v>14</v>
      </c>
      <c r="E33" s="11" t="s">
        <v>15</v>
      </c>
      <c r="F33" s="11" t="s">
        <v>118</v>
      </c>
      <c r="G33" s="11" t="s">
        <v>196</v>
      </c>
      <c r="H33" s="11" t="s">
        <v>197</v>
      </c>
      <c r="I33" s="11" t="s">
        <v>19</v>
      </c>
    </row>
    <row r="34" spans="1:9" s="12" customFormat="1" ht="16.5" customHeight="1" x14ac:dyDescent="0.25">
      <c r="A34" s="234" t="s">
        <v>200</v>
      </c>
      <c r="B34" s="234"/>
      <c r="C34" s="84"/>
      <c r="D34" s="84">
        <v>1</v>
      </c>
      <c r="E34" s="84">
        <v>2</v>
      </c>
      <c r="F34" s="84"/>
      <c r="G34" s="84">
        <v>4</v>
      </c>
      <c r="H34" s="85">
        <v>3.11</v>
      </c>
      <c r="I34" s="84">
        <f>PRODUCT(C34:H34)</f>
        <v>24.88</v>
      </c>
    </row>
    <row r="35" spans="1:9" s="12" customFormat="1" ht="16.5" customHeight="1" x14ac:dyDescent="0.25">
      <c r="A35" s="178" t="str">
        <f>"TOTAL - "&amp;[2]Composição!F27</f>
        <v xml:space="preserve">TOTAL - </v>
      </c>
      <c r="B35" s="178"/>
      <c r="C35" s="178"/>
      <c r="D35" s="178"/>
      <c r="E35" s="178"/>
      <c r="F35" s="178"/>
      <c r="G35" s="178"/>
      <c r="H35" s="178"/>
      <c r="I35" s="86">
        <f>SUM(I34)</f>
        <v>24.88</v>
      </c>
    </row>
    <row r="36" spans="1:9" s="103" customFormat="1" ht="25.5" customHeight="1" x14ac:dyDescent="0.25">
      <c r="A36" s="82">
        <f>'C.P.U.'!A30</f>
        <v>3</v>
      </c>
      <c r="B36" s="212" t="str">
        <f>'C.P.U.'!B30</f>
        <v>Caixa de passagem para drenagem pluvial, em alvenaria de blocos de concreto, cheios em concreto Fck ≥ 20MPa, dimensões internas de 100X100cm, altura ≤ 250cm, para rede DN 400mm e DN600mm, com tampa de concreto armado e reboco interno, incluindo escavação e reaterro compactado, conforme projeto</v>
      </c>
      <c r="C36" s="213"/>
      <c r="D36" s="213"/>
      <c r="E36" s="213"/>
      <c r="F36" s="213"/>
      <c r="G36" s="213"/>
      <c r="H36" s="213"/>
      <c r="I36" s="214"/>
    </row>
    <row r="37" spans="1:9" s="103" customFormat="1" ht="25.5" customHeight="1" x14ac:dyDescent="0.25">
      <c r="A37" s="83" t="str">
        <f>'C.P.U.'!A32</f>
        <v>003.1</v>
      </c>
      <c r="B37" s="228" t="str">
        <f>'C.P.U.'!E32</f>
        <v>Execução de radier, espessura de 15 cm, Fck = 30 MPa, com uso de formas em madeira serrada inclusive execução de lastro com material granular (pedra britada n.2), escavação manual e compactação mecânica de solo</v>
      </c>
      <c r="C37" s="229"/>
      <c r="D37" s="229"/>
      <c r="E37" s="229"/>
      <c r="F37" s="229"/>
      <c r="G37" s="229"/>
      <c r="H37" s="229"/>
      <c r="I37" s="230"/>
    </row>
    <row r="38" spans="1:9" s="103" customFormat="1" ht="16.5" customHeight="1" x14ac:dyDescent="0.25">
      <c r="A38" s="225" t="s">
        <v>12</v>
      </c>
      <c r="B38" s="227"/>
      <c r="C38" s="97" t="s">
        <v>13</v>
      </c>
      <c r="D38" s="97" t="s">
        <v>14</v>
      </c>
      <c r="E38" s="97" t="s">
        <v>15</v>
      </c>
      <c r="F38" s="97" t="s">
        <v>118</v>
      </c>
      <c r="G38" s="97" t="s">
        <v>194</v>
      </c>
      <c r="H38" s="97" t="s">
        <v>26</v>
      </c>
      <c r="I38" s="97" t="s">
        <v>19</v>
      </c>
    </row>
    <row r="39" spans="1:9" s="103" customFormat="1" ht="16.5" customHeight="1" x14ac:dyDescent="0.25">
      <c r="A39" s="166" t="s">
        <v>195</v>
      </c>
      <c r="B39" s="168"/>
      <c r="C39" s="84">
        <v>1.4</v>
      </c>
      <c r="D39" s="84">
        <v>1.4</v>
      </c>
      <c r="E39" s="84"/>
      <c r="F39" s="84"/>
      <c r="G39" s="84"/>
      <c r="H39" s="85"/>
      <c r="I39" s="84">
        <f>PRODUCT(C39:H39)</f>
        <v>1.96</v>
      </c>
    </row>
    <row r="40" spans="1:9" s="103" customFormat="1" ht="16.5" customHeight="1" x14ac:dyDescent="0.25">
      <c r="A40" s="225" t="str">
        <f>"TOTAL - "&amp;[2]Composição!F56</f>
        <v>TOTAL - Unidade</v>
      </c>
      <c r="B40" s="226"/>
      <c r="C40" s="226"/>
      <c r="D40" s="226"/>
      <c r="E40" s="226"/>
      <c r="F40" s="226"/>
      <c r="G40" s="226"/>
      <c r="H40" s="227"/>
      <c r="I40" s="86">
        <f>SUM(I39)</f>
        <v>1.96</v>
      </c>
    </row>
    <row r="41" spans="1:9" s="103" customFormat="1" ht="16.5" customHeight="1" x14ac:dyDescent="0.25">
      <c r="A41" s="83" t="str">
        <f>'C.P.U.'!A33</f>
        <v>003.2</v>
      </c>
      <c r="B41" s="228" t="str">
        <f>'C.P.U.'!E33</f>
        <v>Corte e dobra de aço CA-50, diâmetro de 10,0 mm (0,617kg/m), utilizado em estrutura diversas (Armadura positiva e negativa em duas direções para radier)</v>
      </c>
      <c r="C41" s="229"/>
      <c r="D41" s="229"/>
      <c r="E41" s="229"/>
      <c r="F41" s="229"/>
      <c r="G41" s="229"/>
      <c r="H41" s="229"/>
      <c r="I41" s="230"/>
    </row>
    <row r="42" spans="1:9" s="103" customFormat="1" ht="25.5" customHeight="1" x14ac:dyDescent="0.25">
      <c r="A42" s="225" t="s">
        <v>12</v>
      </c>
      <c r="B42" s="227"/>
      <c r="C42" s="97" t="s">
        <v>13</v>
      </c>
      <c r="D42" s="97" t="s">
        <v>14</v>
      </c>
      <c r="E42" s="97" t="s">
        <v>15</v>
      </c>
      <c r="F42" s="97" t="s">
        <v>118</v>
      </c>
      <c r="G42" s="97" t="s">
        <v>196</v>
      </c>
      <c r="H42" s="97" t="s">
        <v>197</v>
      </c>
      <c r="I42" s="97" t="s">
        <v>19</v>
      </c>
    </row>
    <row r="43" spans="1:9" s="103" customFormat="1" ht="16.5" customHeight="1" x14ac:dyDescent="0.25">
      <c r="A43" s="166" t="s">
        <v>198</v>
      </c>
      <c r="B43" s="168"/>
      <c r="C43" s="84">
        <v>1.44</v>
      </c>
      <c r="D43" s="84"/>
      <c r="E43" s="84"/>
      <c r="F43" s="84">
        <v>14</v>
      </c>
      <c r="G43" s="84">
        <v>2</v>
      </c>
      <c r="H43" s="87">
        <v>0.61699999999999999</v>
      </c>
      <c r="I43" s="84">
        <f>PRODUCT(C43:H43)</f>
        <v>24.88</v>
      </c>
    </row>
    <row r="44" spans="1:9" s="103" customFormat="1" ht="16.5" customHeight="1" x14ac:dyDescent="0.25">
      <c r="A44" s="166" t="s">
        <v>199</v>
      </c>
      <c r="B44" s="168"/>
      <c r="C44" s="84">
        <v>1.44</v>
      </c>
      <c r="D44" s="84"/>
      <c r="E44" s="84"/>
      <c r="F44" s="84">
        <v>14</v>
      </c>
      <c r="G44" s="84">
        <v>2</v>
      </c>
      <c r="H44" s="87">
        <v>0.61699999999999999</v>
      </c>
      <c r="I44" s="84">
        <f>PRODUCT(C44:H44)</f>
        <v>24.88</v>
      </c>
    </row>
    <row r="45" spans="1:9" s="103" customFormat="1" ht="16.5" customHeight="1" x14ac:dyDescent="0.25">
      <c r="A45" s="225" t="str">
        <f>"TOTAL - "&amp;[2]Composição!F57</f>
        <v>TOTAL - M3</v>
      </c>
      <c r="B45" s="226"/>
      <c r="C45" s="226"/>
      <c r="D45" s="226"/>
      <c r="E45" s="226"/>
      <c r="F45" s="226"/>
      <c r="G45" s="226"/>
      <c r="H45" s="227"/>
      <c r="I45" s="86">
        <f>SUM(I43:I44)</f>
        <v>49.76</v>
      </c>
    </row>
    <row r="46" spans="1:9" s="103" customFormat="1" ht="25.5" customHeight="1" x14ac:dyDescent="0.25">
      <c r="A46" s="83" t="str">
        <f>'C.P.U.'!A35</f>
        <v>003.4</v>
      </c>
      <c r="B46" s="228" t="str">
        <f>'C.P.U.'!E35</f>
        <v>Confecção de tampa em concreto armado, com armadura de ø 10,00 mm em duas direções, para poço de visita, Fck ≥ 35 MPa, inclusive lançamento de concreto, adensamento com vibrador de imersão, acabamento e formas</v>
      </c>
      <c r="C46" s="229"/>
      <c r="D46" s="229"/>
      <c r="E46" s="229"/>
      <c r="F46" s="229"/>
      <c r="G46" s="229"/>
      <c r="H46" s="229"/>
      <c r="I46" s="230"/>
    </row>
    <row r="47" spans="1:9" s="103" customFormat="1" ht="16.5" customHeight="1" x14ac:dyDescent="0.25">
      <c r="A47" s="225" t="s">
        <v>12</v>
      </c>
      <c r="B47" s="227"/>
      <c r="C47" s="97" t="s">
        <v>13</v>
      </c>
      <c r="D47" s="97" t="s">
        <v>14</v>
      </c>
      <c r="E47" s="97" t="s">
        <v>15</v>
      </c>
      <c r="F47" s="97" t="s">
        <v>118</v>
      </c>
      <c r="G47" s="97" t="s">
        <v>194</v>
      </c>
      <c r="H47" s="97" t="s">
        <v>26</v>
      </c>
      <c r="I47" s="97" t="s">
        <v>19</v>
      </c>
    </row>
    <row r="48" spans="1:9" s="103" customFormat="1" ht="16.5" customHeight="1" x14ac:dyDescent="0.25">
      <c r="A48" s="166" t="s">
        <v>200</v>
      </c>
      <c r="B48" s="168"/>
      <c r="C48" s="84">
        <v>1.4</v>
      </c>
      <c r="D48" s="84">
        <v>1.4</v>
      </c>
      <c r="E48" s="84"/>
      <c r="F48" s="84"/>
      <c r="G48" s="84"/>
      <c r="H48" s="85"/>
      <c r="I48" s="84">
        <f>PRODUCT(C48:H48)</f>
        <v>1.96</v>
      </c>
    </row>
    <row r="49" spans="1:19" s="103" customFormat="1" ht="16.5" customHeight="1" x14ac:dyDescent="0.25">
      <c r="A49" s="225" t="str">
        <f>"TOTAL - "&amp;[2]Composição!F59</f>
        <v>TOTAL - H</v>
      </c>
      <c r="B49" s="226"/>
      <c r="C49" s="226"/>
      <c r="D49" s="226"/>
      <c r="E49" s="226"/>
      <c r="F49" s="226"/>
      <c r="G49" s="226"/>
      <c r="H49" s="227"/>
      <c r="I49" s="86">
        <f>SUM(I48)</f>
        <v>1.96</v>
      </c>
    </row>
    <row r="50" spans="1:19" s="103" customFormat="1" ht="16.5" customHeight="1" x14ac:dyDescent="0.25">
      <c r="A50" s="83" t="str">
        <f>'C.P.U.'!A36</f>
        <v>003.5</v>
      </c>
      <c r="B50" s="228" t="str">
        <f>'C.P.U.'!E36</f>
        <v>Corte e dobra de aço CA-50, diâmetro de 10,0 mm (0,617kg/m), utilizado em estrutura diversas (Armadura positiva e negativa em duas direções para tampa de concreto)</v>
      </c>
      <c r="C50" s="229"/>
      <c r="D50" s="229"/>
      <c r="E50" s="229"/>
      <c r="F50" s="229"/>
      <c r="G50" s="229"/>
      <c r="H50" s="229"/>
      <c r="I50" s="230"/>
    </row>
    <row r="51" spans="1:19" s="103" customFormat="1" ht="25.5" customHeight="1" x14ac:dyDescent="0.25">
      <c r="A51" s="225" t="s">
        <v>12</v>
      </c>
      <c r="B51" s="227"/>
      <c r="C51" s="97" t="s">
        <v>13</v>
      </c>
      <c r="D51" s="97" t="s">
        <v>14</v>
      </c>
      <c r="E51" s="97" t="s">
        <v>15</v>
      </c>
      <c r="F51" s="97" t="s">
        <v>118</v>
      </c>
      <c r="G51" s="97" t="s">
        <v>196</v>
      </c>
      <c r="H51" s="97" t="s">
        <v>201</v>
      </c>
      <c r="I51" s="97" t="s">
        <v>19</v>
      </c>
    </row>
    <row r="52" spans="1:19" s="103" customFormat="1" ht="16.5" customHeight="1" x14ac:dyDescent="0.25">
      <c r="A52" s="166" t="s">
        <v>202</v>
      </c>
      <c r="B52" s="168"/>
      <c r="C52" s="84">
        <v>1.44</v>
      </c>
      <c r="D52" s="84"/>
      <c r="E52" s="84"/>
      <c r="F52" s="84">
        <v>14</v>
      </c>
      <c r="G52" s="84">
        <v>2</v>
      </c>
      <c r="H52" s="87">
        <v>0.61699999999999999</v>
      </c>
      <c r="I52" s="84">
        <f>PRODUCT(C52:H52)</f>
        <v>24.88</v>
      </c>
    </row>
    <row r="53" spans="1:19" s="103" customFormat="1" ht="16.5" customHeight="1" x14ac:dyDescent="0.25">
      <c r="A53" s="166" t="s">
        <v>203</v>
      </c>
      <c r="B53" s="168"/>
      <c r="C53" s="84">
        <v>1.44</v>
      </c>
      <c r="D53" s="84"/>
      <c r="E53" s="84"/>
      <c r="F53" s="84">
        <v>14</v>
      </c>
      <c r="G53" s="84">
        <v>2</v>
      </c>
      <c r="H53" s="87">
        <v>0.61699999999999999</v>
      </c>
      <c r="I53" s="84">
        <f>PRODUCT(C53:H53)</f>
        <v>24.88</v>
      </c>
    </row>
    <row r="54" spans="1:19" s="103" customFormat="1" ht="16.5" customHeight="1" x14ac:dyDescent="0.25">
      <c r="A54" s="225" t="str">
        <f>"TOTAL - "&amp;[2]Composição!F60</f>
        <v>TOTAL - H</v>
      </c>
      <c r="B54" s="226"/>
      <c r="C54" s="226"/>
      <c r="D54" s="226"/>
      <c r="E54" s="226"/>
      <c r="F54" s="226"/>
      <c r="G54" s="226"/>
      <c r="H54" s="227"/>
      <c r="I54" s="86">
        <f>SUM(I52:I53)</f>
        <v>49.76</v>
      </c>
    </row>
    <row r="55" spans="1:19" s="103" customFormat="1" ht="25.5" customHeight="1" x14ac:dyDescent="0.25">
      <c r="A55" s="83" t="str">
        <f>'C.P.U.'!A37</f>
        <v>003.6</v>
      </c>
      <c r="B55" s="228" t="str">
        <f>'C.P.U.'!E37</f>
        <v>Reboco, em argamassa traço 1:3 (Em volume de cimento e areia média úmida) para paredes internas, preparo mecânico com betoneira 600 L, aplicado manualmente em faces internas de paredes, espessura de 35 mm.</v>
      </c>
      <c r="C55" s="229"/>
      <c r="D55" s="229"/>
      <c r="E55" s="229"/>
      <c r="F55" s="229"/>
      <c r="G55" s="229"/>
      <c r="H55" s="229"/>
      <c r="I55" s="230"/>
    </row>
    <row r="56" spans="1:19" s="103" customFormat="1" ht="16.5" customHeight="1" x14ac:dyDescent="0.25">
      <c r="A56" s="225" t="s">
        <v>12</v>
      </c>
      <c r="B56" s="227"/>
      <c r="C56" s="97" t="s">
        <v>13</v>
      </c>
      <c r="D56" s="97" t="s">
        <v>14</v>
      </c>
      <c r="E56" s="97" t="s">
        <v>15</v>
      </c>
      <c r="F56" s="97" t="s">
        <v>17</v>
      </c>
      <c r="G56" s="97" t="s">
        <v>204</v>
      </c>
      <c r="H56" s="97" t="s">
        <v>26</v>
      </c>
      <c r="I56" s="97" t="s">
        <v>19</v>
      </c>
    </row>
    <row r="57" spans="1:19" s="103" customFormat="1" ht="16.5" customHeight="1" x14ac:dyDescent="0.25">
      <c r="A57" s="166" t="s">
        <v>205</v>
      </c>
      <c r="B57" s="168"/>
      <c r="C57" s="84"/>
      <c r="D57" s="84">
        <v>1</v>
      </c>
      <c r="E57" s="84">
        <v>1.5</v>
      </c>
      <c r="F57" s="84">
        <v>4</v>
      </c>
      <c r="G57" s="87">
        <v>3.5000000000000003E-2</v>
      </c>
      <c r="H57" s="85"/>
      <c r="I57" s="84">
        <f>PRODUCT(C57:H57)</f>
        <v>0.21</v>
      </c>
    </row>
    <row r="58" spans="1:19" s="103" customFormat="1" ht="16.5" customHeight="1" x14ac:dyDescent="0.25">
      <c r="A58" s="225" t="str">
        <f>"TOTAL - "&amp;[2]Composição!F61</f>
        <v xml:space="preserve">TOTAL - </v>
      </c>
      <c r="B58" s="226"/>
      <c r="C58" s="226"/>
      <c r="D58" s="226"/>
      <c r="E58" s="226"/>
      <c r="F58" s="226"/>
      <c r="G58" s="226"/>
      <c r="H58" s="227"/>
      <c r="I58" s="86">
        <f>SUM(I57)</f>
        <v>0.21</v>
      </c>
    </row>
    <row r="59" spans="1:19" s="103" customFormat="1" ht="16.5" customHeight="1" x14ac:dyDescent="0.25">
      <c r="A59" s="83" t="str">
        <f>'C.P.U.'!A38</f>
        <v>003.7</v>
      </c>
      <c r="B59" s="228" t="str">
        <f>'C.P.U.'!E38</f>
        <v>Armação do sistema de paredes com uso de tela Q-196 (3,11 kg/m2)</v>
      </c>
      <c r="C59" s="229"/>
      <c r="D59" s="229"/>
      <c r="E59" s="229"/>
      <c r="F59" s="229"/>
      <c r="G59" s="229"/>
      <c r="H59" s="229"/>
      <c r="I59" s="230"/>
    </row>
    <row r="60" spans="1:19" s="103" customFormat="1" ht="25.5" customHeight="1" x14ac:dyDescent="0.25">
      <c r="A60" s="225" t="s">
        <v>12</v>
      </c>
      <c r="B60" s="227"/>
      <c r="C60" s="97" t="s">
        <v>13</v>
      </c>
      <c r="D60" s="97" t="s">
        <v>14</v>
      </c>
      <c r="E60" s="97" t="s">
        <v>15</v>
      </c>
      <c r="F60" s="97" t="s">
        <v>118</v>
      </c>
      <c r="G60" s="97" t="s">
        <v>196</v>
      </c>
      <c r="H60" s="97" t="s">
        <v>197</v>
      </c>
      <c r="I60" s="97" t="s">
        <v>19</v>
      </c>
    </row>
    <row r="61" spans="1:19" s="103" customFormat="1" ht="16.5" customHeight="1" x14ac:dyDescent="0.25">
      <c r="A61" s="166" t="s">
        <v>200</v>
      </c>
      <c r="B61" s="168"/>
      <c r="C61" s="84"/>
      <c r="D61" s="84">
        <v>1</v>
      </c>
      <c r="E61" s="84">
        <v>1.5</v>
      </c>
      <c r="F61" s="84"/>
      <c r="G61" s="84">
        <v>4</v>
      </c>
      <c r="H61" s="85">
        <v>3.11</v>
      </c>
      <c r="I61" s="84">
        <f>PRODUCT(C61:H61)</f>
        <v>18.66</v>
      </c>
    </row>
    <row r="62" spans="1:19" s="103" customFormat="1" ht="16.5" customHeight="1" x14ac:dyDescent="0.25">
      <c r="A62" s="225" t="str">
        <f>"TOTAL - "&amp;[2]Composição!F62</f>
        <v xml:space="preserve">TOTAL - </v>
      </c>
      <c r="B62" s="226"/>
      <c r="C62" s="226"/>
      <c r="D62" s="226"/>
      <c r="E62" s="226"/>
      <c r="F62" s="226"/>
      <c r="G62" s="226"/>
      <c r="H62" s="227"/>
      <c r="I62" s="86">
        <f>SUM(I61)</f>
        <v>18.66</v>
      </c>
    </row>
    <row r="63" spans="1:19" ht="25.5" customHeight="1" x14ac:dyDescent="0.25">
      <c r="A63" s="12"/>
      <c r="B63" s="12"/>
      <c r="C63" s="12"/>
      <c r="D63" s="12"/>
      <c r="E63" s="12"/>
      <c r="F63" s="12"/>
      <c r="G63" s="12"/>
      <c r="H63" s="12"/>
      <c r="I63" s="12"/>
      <c r="J63" s="12"/>
      <c r="K63" s="12"/>
      <c r="L63" s="12"/>
      <c r="M63" s="12"/>
      <c r="N63" s="12"/>
      <c r="O63" s="12"/>
      <c r="P63" s="12"/>
      <c r="Q63" s="12"/>
      <c r="R63" s="12"/>
      <c r="S63" s="12"/>
    </row>
    <row r="64" spans="1:19" ht="25.5" customHeight="1" x14ac:dyDescent="0.25">
      <c r="A64" s="12"/>
      <c r="B64" s="12"/>
      <c r="C64" s="12"/>
      <c r="D64" s="12"/>
      <c r="E64" s="12"/>
      <c r="F64" s="12"/>
      <c r="G64" s="12"/>
      <c r="H64" s="12"/>
      <c r="I64" s="12"/>
      <c r="J64" s="12"/>
      <c r="K64" s="12"/>
      <c r="L64" s="12"/>
      <c r="M64" s="12"/>
      <c r="N64" s="12"/>
      <c r="O64" s="12"/>
      <c r="P64" s="12"/>
      <c r="Q64" s="12"/>
      <c r="R64" s="12"/>
      <c r="S64" s="12"/>
    </row>
    <row r="65" spans="1:19" ht="16.5" customHeight="1" x14ac:dyDescent="0.25">
      <c r="A65" s="12"/>
      <c r="B65" s="12"/>
      <c r="C65" s="12"/>
      <c r="D65" s="12"/>
      <c r="E65" s="12"/>
      <c r="F65" s="12"/>
      <c r="G65" s="12"/>
      <c r="H65" s="12"/>
      <c r="I65" s="12"/>
      <c r="J65" s="12"/>
      <c r="K65" s="12"/>
      <c r="L65" s="12"/>
      <c r="M65" s="12"/>
      <c r="N65" s="12"/>
      <c r="O65" s="12"/>
      <c r="P65" s="12"/>
      <c r="Q65" s="12"/>
      <c r="R65" s="12"/>
      <c r="S65" s="12"/>
    </row>
    <row r="66" spans="1:19" ht="16.5" customHeight="1" x14ac:dyDescent="0.25">
      <c r="A66" s="12"/>
      <c r="B66" s="12"/>
      <c r="C66" s="12"/>
      <c r="D66" s="12"/>
      <c r="E66" s="12"/>
      <c r="F66" s="12"/>
      <c r="G66" s="12"/>
      <c r="H66" s="12"/>
      <c r="I66" s="12"/>
      <c r="J66" s="12"/>
      <c r="K66" s="12"/>
      <c r="L66" s="12"/>
      <c r="M66" s="12"/>
      <c r="N66" s="12"/>
      <c r="O66" s="12"/>
      <c r="P66" s="12"/>
      <c r="Q66" s="12"/>
      <c r="R66" s="12"/>
      <c r="S66" s="12"/>
    </row>
    <row r="67" spans="1:19" ht="16.5" customHeight="1" x14ac:dyDescent="0.25">
      <c r="A67" s="12"/>
      <c r="B67" s="12"/>
      <c r="C67" s="12"/>
      <c r="D67" s="12"/>
      <c r="E67" s="12"/>
      <c r="F67" s="12"/>
      <c r="G67" s="12"/>
      <c r="H67" s="12"/>
      <c r="I67" s="12"/>
      <c r="J67" s="12"/>
      <c r="K67" s="12"/>
      <c r="L67" s="12"/>
      <c r="M67" s="12"/>
      <c r="N67" s="12"/>
      <c r="O67" s="12"/>
      <c r="P67" s="12"/>
      <c r="Q67" s="12"/>
      <c r="R67" s="12"/>
      <c r="S67" s="12"/>
    </row>
    <row r="68" spans="1:19" ht="16.5" customHeight="1" x14ac:dyDescent="0.25">
      <c r="A68" s="12"/>
      <c r="B68" s="12"/>
      <c r="C68" s="12"/>
      <c r="D68" s="12"/>
      <c r="E68" s="12"/>
      <c r="F68" s="12"/>
      <c r="G68" s="12"/>
      <c r="H68" s="12"/>
      <c r="I68" s="12"/>
      <c r="J68" s="12"/>
      <c r="K68" s="12"/>
      <c r="L68" s="12"/>
      <c r="M68" s="12"/>
      <c r="N68" s="12"/>
      <c r="O68" s="12"/>
      <c r="P68" s="12"/>
      <c r="Q68" s="12"/>
      <c r="R68" s="12"/>
      <c r="S68" s="12"/>
    </row>
    <row r="69" spans="1:19" ht="25.5" customHeight="1" x14ac:dyDescent="0.25">
      <c r="A69" s="12"/>
      <c r="B69" s="12"/>
      <c r="C69" s="12"/>
      <c r="D69" s="12"/>
      <c r="E69" s="12"/>
      <c r="F69" s="12"/>
      <c r="G69" s="12"/>
      <c r="H69" s="12"/>
      <c r="I69" s="12"/>
      <c r="J69" s="12"/>
      <c r="K69" s="12"/>
      <c r="L69" s="12"/>
      <c r="M69" s="12"/>
      <c r="N69" s="12"/>
      <c r="O69" s="12"/>
      <c r="P69" s="12"/>
      <c r="Q69" s="12"/>
      <c r="R69" s="12"/>
      <c r="S69" s="12"/>
    </row>
    <row r="70" spans="1:19" ht="16.5" customHeight="1" x14ac:dyDescent="0.25">
      <c r="A70" s="12"/>
      <c r="B70" s="12"/>
      <c r="C70" s="12"/>
      <c r="D70" s="12"/>
      <c r="E70" s="12"/>
      <c r="F70" s="12"/>
      <c r="G70" s="12"/>
      <c r="H70" s="12"/>
      <c r="I70" s="12"/>
      <c r="J70" s="12"/>
      <c r="K70" s="12"/>
      <c r="L70" s="12"/>
      <c r="M70" s="12"/>
      <c r="N70" s="12"/>
      <c r="O70" s="12"/>
      <c r="P70" s="12"/>
      <c r="Q70" s="12"/>
      <c r="R70" s="12"/>
      <c r="S70" s="12"/>
    </row>
    <row r="71" spans="1:19" ht="16.5" customHeight="1" x14ac:dyDescent="0.25">
      <c r="A71" s="12"/>
      <c r="B71" s="12"/>
      <c r="C71" s="12"/>
      <c r="D71" s="12"/>
      <c r="E71" s="12"/>
      <c r="F71" s="12"/>
      <c r="G71" s="12"/>
      <c r="H71" s="12"/>
      <c r="I71" s="12"/>
      <c r="J71" s="12"/>
      <c r="K71" s="12"/>
      <c r="L71" s="12"/>
      <c r="M71" s="12"/>
      <c r="N71" s="12"/>
      <c r="O71" s="12"/>
      <c r="P71" s="12"/>
      <c r="Q71" s="12"/>
      <c r="R71" s="12"/>
      <c r="S71" s="12"/>
    </row>
    <row r="72" spans="1:19" ht="16.5" customHeight="1" x14ac:dyDescent="0.25">
      <c r="A72" s="12"/>
      <c r="B72" s="12"/>
      <c r="C72" s="12"/>
      <c r="D72" s="12"/>
      <c r="E72" s="12"/>
      <c r="F72" s="12"/>
      <c r="G72" s="12"/>
      <c r="H72" s="12"/>
      <c r="I72" s="12"/>
      <c r="J72" s="12"/>
      <c r="K72" s="12"/>
      <c r="L72" s="12"/>
      <c r="M72" s="12"/>
      <c r="N72" s="12"/>
      <c r="O72" s="12"/>
      <c r="P72" s="12"/>
      <c r="Q72" s="12"/>
      <c r="R72" s="12"/>
      <c r="S72" s="12"/>
    </row>
    <row r="73" spans="1:19" ht="25.5" customHeight="1" x14ac:dyDescent="0.25">
      <c r="A73" s="12"/>
      <c r="B73" s="12"/>
      <c r="C73" s="12"/>
      <c r="D73" s="12"/>
      <c r="E73" s="12"/>
      <c r="F73" s="12"/>
      <c r="G73" s="12"/>
      <c r="H73" s="12"/>
      <c r="I73" s="12"/>
      <c r="J73" s="12"/>
      <c r="K73" s="12"/>
      <c r="L73" s="12"/>
      <c r="M73" s="12"/>
      <c r="N73" s="12"/>
      <c r="O73" s="12"/>
      <c r="P73" s="12"/>
      <c r="Q73" s="12"/>
      <c r="R73" s="12"/>
      <c r="S73" s="12"/>
    </row>
    <row r="74" spans="1:19" ht="16.5" customHeight="1" x14ac:dyDescent="0.25">
      <c r="A74" s="12"/>
      <c r="B74" s="12"/>
      <c r="C74" s="12"/>
      <c r="D74" s="12"/>
      <c r="E74" s="12"/>
      <c r="F74" s="12"/>
      <c r="G74" s="12"/>
      <c r="H74" s="12"/>
      <c r="I74" s="12"/>
      <c r="J74" s="12"/>
      <c r="K74" s="12"/>
      <c r="L74" s="12"/>
      <c r="M74" s="12"/>
      <c r="N74" s="12"/>
      <c r="O74" s="12"/>
      <c r="P74" s="12"/>
      <c r="Q74" s="12"/>
      <c r="R74" s="12"/>
      <c r="S74" s="12"/>
    </row>
    <row r="75" spans="1:19" ht="16.5" customHeight="1" x14ac:dyDescent="0.25">
      <c r="A75" s="12"/>
      <c r="B75" s="12"/>
      <c r="C75" s="12"/>
      <c r="D75" s="12"/>
      <c r="E75" s="12"/>
      <c r="F75" s="12"/>
      <c r="G75" s="12"/>
      <c r="H75" s="12"/>
      <c r="I75" s="12"/>
      <c r="J75" s="12"/>
      <c r="K75" s="12"/>
      <c r="L75" s="12"/>
      <c r="M75" s="12"/>
      <c r="N75" s="12"/>
      <c r="O75" s="12"/>
      <c r="P75" s="12"/>
      <c r="Q75" s="12"/>
      <c r="R75" s="12"/>
      <c r="S75" s="12"/>
    </row>
    <row r="76" spans="1:19" ht="16.5" customHeight="1" x14ac:dyDescent="0.25">
      <c r="A76" s="12"/>
      <c r="B76" s="12"/>
      <c r="C76" s="12"/>
      <c r="D76" s="12"/>
      <c r="E76" s="12"/>
      <c r="F76" s="12"/>
      <c r="G76" s="12"/>
      <c r="H76" s="12"/>
      <c r="I76" s="12"/>
      <c r="J76" s="12"/>
      <c r="K76" s="12"/>
      <c r="L76" s="12"/>
      <c r="M76" s="12"/>
      <c r="N76" s="12"/>
      <c r="O76" s="12"/>
      <c r="P76" s="12"/>
      <c r="Q76" s="12"/>
      <c r="R76" s="12"/>
      <c r="S76" s="12"/>
    </row>
    <row r="77" spans="1:19" ht="16.5" customHeight="1" x14ac:dyDescent="0.25">
      <c r="A77" s="12"/>
      <c r="B77" s="12"/>
      <c r="C77" s="12"/>
      <c r="D77" s="12"/>
      <c r="E77" s="12"/>
      <c r="F77" s="12"/>
      <c r="G77" s="12"/>
      <c r="H77" s="12"/>
      <c r="I77" s="12"/>
      <c r="J77" s="12"/>
      <c r="K77" s="12"/>
      <c r="L77" s="12"/>
      <c r="M77" s="12"/>
      <c r="N77" s="12"/>
      <c r="O77" s="12"/>
      <c r="P77" s="12"/>
      <c r="Q77" s="12"/>
      <c r="R77" s="12"/>
      <c r="S77" s="12"/>
    </row>
  </sheetData>
  <mergeCells count="63">
    <mergeCell ref="A34:B34"/>
    <mergeCell ref="A35:H35"/>
    <mergeCell ref="A29:B29"/>
    <mergeCell ref="A30:B30"/>
    <mergeCell ref="A31:H31"/>
    <mergeCell ref="B32:I32"/>
    <mergeCell ref="A33:B33"/>
    <mergeCell ref="B19:I19"/>
    <mergeCell ref="A20:B20"/>
    <mergeCell ref="A21:B21"/>
    <mergeCell ref="A22:H22"/>
    <mergeCell ref="B23:I23"/>
    <mergeCell ref="A24:B24"/>
    <mergeCell ref="A25:B25"/>
    <mergeCell ref="A26:B26"/>
    <mergeCell ref="A27:H27"/>
    <mergeCell ref="B28:I28"/>
    <mergeCell ref="B9:I9"/>
    <mergeCell ref="B10:I10"/>
    <mergeCell ref="A11:B11"/>
    <mergeCell ref="A12:B12"/>
    <mergeCell ref="A13:H13"/>
    <mergeCell ref="B36:I36"/>
    <mergeCell ref="B37:I37"/>
    <mergeCell ref="A8:I8"/>
    <mergeCell ref="A1:I3"/>
    <mergeCell ref="A4:I4"/>
    <mergeCell ref="A5:I5"/>
    <mergeCell ref="A6:A7"/>
    <mergeCell ref="B6:F7"/>
    <mergeCell ref="G6:G7"/>
    <mergeCell ref="H6:H7"/>
    <mergeCell ref="I6:I7"/>
    <mergeCell ref="B14:I14"/>
    <mergeCell ref="A15:B15"/>
    <mergeCell ref="A16:B16"/>
    <mergeCell ref="A17:B17"/>
    <mergeCell ref="A18:H18"/>
    <mergeCell ref="A57:B57"/>
    <mergeCell ref="A58:H58"/>
    <mergeCell ref="B59:I59"/>
    <mergeCell ref="A60:B60"/>
    <mergeCell ref="A51:B51"/>
    <mergeCell ref="A52:B52"/>
    <mergeCell ref="A53:B53"/>
    <mergeCell ref="A54:H54"/>
    <mergeCell ref="B55:I55"/>
    <mergeCell ref="A61:B61"/>
    <mergeCell ref="A62:H62"/>
    <mergeCell ref="A38:B38"/>
    <mergeCell ref="A39:B39"/>
    <mergeCell ref="A40:H40"/>
    <mergeCell ref="A45:H45"/>
    <mergeCell ref="A42:B42"/>
    <mergeCell ref="A43:B43"/>
    <mergeCell ref="B41:I41"/>
    <mergeCell ref="A44:B44"/>
    <mergeCell ref="B46:I46"/>
    <mergeCell ref="A47:B47"/>
    <mergeCell ref="A48:B48"/>
    <mergeCell ref="A49:H49"/>
    <mergeCell ref="B50:I50"/>
    <mergeCell ref="A56:B56"/>
  </mergeCells>
  <pageMargins left="0.511811024" right="0.511811024" top="0.78740157499999996" bottom="0.78740157499999996" header="0.31496062000000002" footer="0.31496062000000002"/>
  <pageSetup paperSize="9" scale="61" fitToHeight="0" orientation="landscape" verticalDpi="0" r:id="rId1"/>
  <rowBreaks count="1" manualBreakCount="1">
    <brk id="45"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2"/>
  <sheetViews>
    <sheetView view="pageBreakPreview" zoomScaleNormal="100" zoomScaleSheetLayoutView="100" workbookViewId="0">
      <selection activeCell="A13" sqref="A13:J13"/>
    </sheetView>
  </sheetViews>
  <sheetFormatPr defaultRowHeight="16.5" customHeight="1" x14ac:dyDescent="0.25"/>
  <cols>
    <col min="1" max="1" width="14.7109375" style="103" customWidth="1"/>
    <col min="2" max="2" width="31.5703125" style="103" customWidth="1"/>
    <col min="3" max="10" width="14.7109375" style="103" customWidth="1"/>
    <col min="11" max="11" width="18" style="103" customWidth="1"/>
    <col min="12" max="12" width="18.140625" style="103" customWidth="1"/>
    <col min="13" max="13" width="14.28515625" style="103" customWidth="1"/>
    <col min="14" max="256" width="9.140625" style="103"/>
    <col min="257" max="257" width="14.7109375" style="103" customWidth="1"/>
    <col min="258" max="258" width="31.5703125" style="103" customWidth="1"/>
    <col min="259" max="266" width="14.7109375" style="103" customWidth="1"/>
    <col min="267" max="267" width="18" style="103" customWidth="1"/>
    <col min="268" max="268" width="18.140625" style="103" customWidth="1"/>
    <col min="269" max="269" width="14.28515625" style="103" customWidth="1"/>
    <col min="270" max="512" width="9.140625" style="103"/>
    <col min="513" max="513" width="14.7109375" style="103" customWidth="1"/>
    <col min="514" max="514" width="31.5703125" style="103" customWidth="1"/>
    <col min="515" max="522" width="14.7109375" style="103" customWidth="1"/>
    <col min="523" max="523" width="18" style="103" customWidth="1"/>
    <col min="524" max="524" width="18.140625" style="103" customWidth="1"/>
    <col min="525" max="525" width="14.28515625" style="103" customWidth="1"/>
    <col min="526" max="768" width="9.140625" style="103"/>
    <col min="769" max="769" width="14.7109375" style="103" customWidth="1"/>
    <col min="770" max="770" width="31.5703125" style="103" customWidth="1"/>
    <col min="771" max="778" width="14.7109375" style="103" customWidth="1"/>
    <col min="779" max="779" width="18" style="103" customWidth="1"/>
    <col min="780" max="780" width="18.140625" style="103" customWidth="1"/>
    <col min="781" max="781" width="14.28515625" style="103" customWidth="1"/>
    <col min="782" max="1024" width="9.140625" style="103"/>
    <col min="1025" max="1025" width="14.7109375" style="103" customWidth="1"/>
    <col min="1026" max="1026" width="31.5703125" style="103" customWidth="1"/>
    <col min="1027" max="1034" width="14.7109375" style="103" customWidth="1"/>
    <col min="1035" max="1035" width="18" style="103" customWidth="1"/>
    <col min="1036" max="1036" width="18.140625" style="103" customWidth="1"/>
    <col min="1037" max="1037" width="14.28515625" style="103" customWidth="1"/>
    <col min="1038" max="1280" width="9.140625" style="103"/>
    <col min="1281" max="1281" width="14.7109375" style="103" customWidth="1"/>
    <col min="1282" max="1282" width="31.5703125" style="103" customWidth="1"/>
    <col min="1283" max="1290" width="14.7109375" style="103" customWidth="1"/>
    <col min="1291" max="1291" width="18" style="103" customWidth="1"/>
    <col min="1292" max="1292" width="18.140625" style="103" customWidth="1"/>
    <col min="1293" max="1293" width="14.28515625" style="103" customWidth="1"/>
    <col min="1294" max="1536" width="9.140625" style="103"/>
    <col min="1537" max="1537" width="14.7109375" style="103" customWidth="1"/>
    <col min="1538" max="1538" width="31.5703125" style="103" customWidth="1"/>
    <col min="1539" max="1546" width="14.7109375" style="103" customWidth="1"/>
    <col min="1547" max="1547" width="18" style="103" customWidth="1"/>
    <col min="1548" max="1548" width="18.140625" style="103" customWidth="1"/>
    <col min="1549" max="1549" width="14.28515625" style="103" customWidth="1"/>
    <col min="1550" max="1792" width="9.140625" style="103"/>
    <col min="1793" max="1793" width="14.7109375" style="103" customWidth="1"/>
    <col min="1794" max="1794" width="31.5703125" style="103" customWidth="1"/>
    <col min="1795" max="1802" width="14.7109375" style="103" customWidth="1"/>
    <col min="1803" max="1803" width="18" style="103" customWidth="1"/>
    <col min="1804" max="1804" width="18.140625" style="103" customWidth="1"/>
    <col min="1805" max="1805" width="14.28515625" style="103" customWidth="1"/>
    <col min="1806" max="2048" width="9.140625" style="103"/>
    <col min="2049" max="2049" width="14.7109375" style="103" customWidth="1"/>
    <col min="2050" max="2050" width="31.5703125" style="103" customWidth="1"/>
    <col min="2051" max="2058" width="14.7109375" style="103" customWidth="1"/>
    <col min="2059" max="2059" width="18" style="103" customWidth="1"/>
    <col min="2060" max="2060" width="18.140625" style="103" customWidth="1"/>
    <col min="2061" max="2061" width="14.28515625" style="103" customWidth="1"/>
    <col min="2062" max="2304" width="9.140625" style="103"/>
    <col min="2305" max="2305" width="14.7109375" style="103" customWidth="1"/>
    <col min="2306" max="2306" width="31.5703125" style="103" customWidth="1"/>
    <col min="2307" max="2314" width="14.7109375" style="103" customWidth="1"/>
    <col min="2315" max="2315" width="18" style="103" customWidth="1"/>
    <col min="2316" max="2316" width="18.140625" style="103" customWidth="1"/>
    <col min="2317" max="2317" width="14.28515625" style="103" customWidth="1"/>
    <col min="2318" max="2560" width="9.140625" style="103"/>
    <col min="2561" max="2561" width="14.7109375" style="103" customWidth="1"/>
    <col min="2562" max="2562" width="31.5703125" style="103" customWidth="1"/>
    <col min="2563" max="2570" width="14.7109375" style="103" customWidth="1"/>
    <col min="2571" max="2571" width="18" style="103" customWidth="1"/>
    <col min="2572" max="2572" width="18.140625" style="103" customWidth="1"/>
    <col min="2573" max="2573" width="14.28515625" style="103" customWidth="1"/>
    <col min="2574" max="2816" width="9.140625" style="103"/>
    <col min="2817" max="2817" width="14.7109375" style="103" customWidth="1"/>
    <col min="2818" max="2818" width="31.5703125" style="103" customWidth="1"/>
    <col min="2819" max="2826" width="14.7109375" style="103" customWidth="1"/>
    <col min="2827" max="2827" width="18" style="103" customWidth="1"/>
    <col min="2828" max="2828" width="18.140625" style="103" customWidth="1"/>
    <col min="2829" max="2829" width="14.28515625" style="103" customWidth="1"/>
    <col min="2830" max="3072" width="9.140625" style="103"/>
    <col min="3073" max="3073" width="14.7109375" style="103" customWidth="1"/>
    <col min="3074" max="3074" width="31.5703125" style="103" customWidth="1"/>
    <col min="3075" max="3082" width="14.7109375" style="103" customWidth="1"/>
    <col min="3083" max="3083" width="18" style="103" customWidth="1"/>
    <col min="3084" max="3084" width="18.140625" style="103" customWidth="1"/>
    <col min="3085" max="3085" width="14.28515625" style="103" customWidth="1"/>
    <col min="3086" max="3328" width="9.140625" style="103"/>
    <col min="3329" max="3329" width="14.7109375" style="103" customWidth="1"/>
    <col min="3330" max="3330" width="31.5703125" style="103" customWidth="1"/>
    <col min="3331" max="3338" width="14.7109375" style="103" customWidth="1"/>
    <col min="3339" max="3339" width="18" style="103" customWidth="1"/>
    <col min="3340" max="3340" width="18.140625" style="103" customWidth="1"/>
    <col min="3341" max="3341" width="14.28515625" style="103" customWidth="1"/>
    <col min="3342" max="3584" width="9.140625" style="103"/>
    <col min="3585" max="3585" width="14.7109375" style="103" customWidth="1"/>
    <col min="3586" max="3586" width="31.5703125" style="103" customWidth="1"/>
    <col min="3587" max="3594" width="14.7109375" style="103" customWidth="1"/>
    <col min="3595" max="3595" width="18" style="103" customWidth="1"/>
    <col min="3596" max="3596" width="18.140625" style="103" customWidth="1"/>
    <col min="3597" max="3597" width="14.28515625" style="103" customWidth="1"/>
    <col min="3598" max="3840" width="9.140625" style="103"/>
    <col min="3841" max="3841" width="14.7109375" style="103" customWidth="1"/>
    <col min="3842" max="3842" width="31.5703125" style="103" customWidth="1"/>
    <col min="3843" max="3850" width="14.7109375" style="103" customWidth="1"/>
    <col min="3851" max="3851" width="18" style="103" customWidth="1"/>
    <col min="3852" max="3852" width="18.140625" style="103" customWidth="1"/>
    <col min="3853" max="3853" width="14.28515625" style="103" customWidth="1"/>
    <col min="3854" max="4096" width="9.140625" style="103"/>
    <col min="4097" max="4097" width="14.7109375" style="103" customWidth="1"/>
    <col min="4098" max="4098" width="31.5703125" style="103" customWidth="1"/>
    <col min="4099" max="4106" width="14.7109375" style="103" customWidth="1"/>
    <col min="4107" max="4107" width="18" style="103" customWidth="1"/>
    <col min="4108" max="4108" width="18.140625" style="103" customWidth="1"/>
    <col min="4109" max="4109" width="14.28515625" style="103" customWidth="1"/>
    <col min="4110" max="4352" width="9.140625" style="103"/>
    <col min="4353" max="4353" width="14.7109375" style="103" customWidth="1"/>
    <col min="4354" max="4354" width="31.5703125" style="103" customWidth="1"/>
    <col min="4355" max="4362" width="14.7109375" style="103" customWidth="1"/>
    <col min="4363" max="4363" width="18" style="103" customWidth="1"/>
    <col min="4364" max="4364" width="18.140625" style="103" customWidth="1"/>
    <col min="4365" max="4365" width="14.28515625" style="103" customWidth="1"/>
    <col min="4366" max="4608" width="9.140625" style="103"/>
    <col min="4609" max="4609" width="14.7109375" style="103" customWidth="1"/>
    <col min="4610" max="4610" width="31.5703125" style="103" customWidth="1"/>
    <col min="4611" max="4618" width="14.7109375" style="103" customWidth="1"/>
    <col min="4619" max="4619" width="18" style="103" customWidth="1"/>
    <col min="4620" max="4620" width="18.140625" style="103" customWidth="1"/>
    <col min="4621" max="4621" width="14.28515625" style="103" customWidth="1"/>
    <col min="4622" max="4864" width="9.140625" style="103"/>
    <col min="4865" max="4865" width="14.7109375" style="103" customWidth="1"/>
    <col min="4866" max="4866" width="31.5703125" style="103" customWidth="1"/>
    <col min="4867" max="4874" width="14.7109375" style="103" customWidth="1"/>
    <col min="4875" max="4875" width="18" style="103" customWidth="1"/>
    <col min="4876" max="4876" width="18.140625" style="103" customWidth="1"/>
    <col min="4877" max="4877" width="14.28515625" style="103" customWidth="1"/>
    <col min="4878" max="5120" width="9.140625" style="103"/>
    <col min="5121" max="5121" width="14.7109375" style="103" customWidth="1"/>
    <col min="5122" max="5122" width="31.5703125" style="103" customWidth="1"/>
    <col min="5123" max="5130" width="14.7109375" style="103" customWidth="1"/>
    <col min="5131" max="5131" width="18" style="103" customWidth="1"/>
    <col min="5132" max="5132" width="18.140625" style="103" customWidth="1"/>
    <col min="5133" max="5133" width="14.28515625" style="103" customWidth="1"/>
    <col min="5134" max="5376" width="9.140625" style="103"/>
    <col min="5377" max="5377" width="14.7109375" style="103" customWidth="1"/>
    <col min="5378" max="5378" width="31.5703125" style="103" customWidth="1"/>
    <col min="5379" max="5386" width="14.7109375" style="103" customWidth="1"/>
    <col min="5387" max="5387" width="18" style="103" customWidth="1"/>
    <col min="5388" max="5388" width="18.140625" style="103" customWidth="1"/>
    <col min="5389" max="5389" width="14.28515625" style="103" customWidth="1"/>
    <col min="5390" max="5632" width="9.140625" style="103"/>
    <col min="5633" max="5633" width="14.7109375" style="103" customWidth="1"/>
    <col min="5634" max="5634" width="31.5703125" style="103" customWidth="1"/>
    <col min="5635" max="5642" width="14.7109375" style="103" customWidth="1"/>
    <col min="5643" max="5643" width="18" style="103" customWidth="1"/>
    <col min="5644" max="5644" width="18.140625" style="103" customWidth="1"/>
    <col min="5645" max="5645" width="14.28515625" style="103" customWidth="1"/>
    <col min="5646" max="5888" width="9.140625" style="103"/>
    <col min="5889" max="5889" width="14.7109375" style="103" customWidth="1"/>
    <col min="5890" max="5890" width="31.5703125" style="103" customWidth="1"/>
    <col min="5891" max="5898" width="14.7109375" style="103" customWidth="1"/>
    <col min="5899" max="5899" width="18" style="103" customWidth="1"/>
    <col min="5900" max="5900" width="18.140625" style="103" customWidth="1"/>
    <col min="5901" max="5901" width="14.28515625" style="103" customWidth="1"/>
    <col min="5902" max="6144" width="9.140625" style="103"/>
    <col min="6145" max="6145" width="14.7109375" style="103" customWidth="1"/>
    <col min="6146" max="6146" width="31.5703125" style="103" customWidth="1"/>
    <col min="6147" max="6154" width="14.7109375" style="103" customWidth="1"/>
    <col min="6155" max="6155" width="18" style="103" customWidth="1"/>
    <col min="6156" max="6156" width="18.140625" style="103" customWidth="1"/>
    <col min="6157" max="6157" width="14.28515625" style="103" customWidth="1"/>
    <col min="6158" max="6400" width="9.140625" style="103"/>
    <col min="6401" max="6401" width="14.7109375" style="103" customWidth="1"/>
    <col min="6402" max="6402" width="31.5703125" style="103" customWidth="1"/>
    <col min="6403" max="6410" width="14.7109375" style="103" customWidth="1"/>
    <col min="6411" max="6411" width="18" style="103" customWidth="1"/>
    <col min="6412" max="6412" width="18.140625" style="103" customWidth="1"/>
    <col min="6413" max="6413" width="14.28515625" style="103" customWidth="1"/>
    <col min="6414" max="6656" width="9.140625" style="103"/>
    <col min="6657" max="6657" width="14.7109375" style="103" customWidth="1"/>
    <col min="6658" max="6658" width="31.5703125" style="103" customWidth="1"/>
    <col min="6659" max="6666" width="14.7109375" style="103" customWidth="1"/>
    <col min="6667" max="6667" width="18" style="103" customWidth="1"/>
    <col min="6668" max="6668" width="18.140625" style="103" customWidth="1"/>
    <col min="6669" max="6669" width="14.28515625" style="103" customWidth="1"/>
    <col min="6670" max="6912" width="9.140625" style="103"/>
    <col min="6913" max="6913" width="14.7109375" style="103" customWidth="1"/>
    <col min="6914" max="6914" width="31.5703125" style="103" customWidth="1"/>
    <col min="6915" max="6922" width="14.7109375" style="103" customWidth="1"/>
    <col min="6923" max="6923" width="18" style="103" customWidth="1"/>
    <col min="6924" max="6924" width="18.140625" style="103" customWidth="1"/>
    <col min="6925" max="6925" width="14.28515625" style="103" customWidth="1"/>
    <col min="6926" max="7168" width="9.140625" style="103"/>
    <col min="7169" max="7169" width="14.7109375" style="103" customWidth="1"/>
    <col min="7170" max="7170" width="31.5703125" style="103" customWidth="1"/>
    <col min="7171" max="7178" width="14.7109375" style="103" customWidth="1"/>
    <col min="7179" max="7179" width="18" style="103" customWidth="1"/>
    <col min="7180" max="7180" width="18.140625" style="103" customWidth="1"/>
    <col min="7181" max="7181" width="14.28515625" style="103" customWidth="1"/>
    <col min="7182" max="7424" width="9.140625" style="103"/>
    <col min="7425" max="7425" width="14.7109375" style="103" customWidth="1"/>
    <col min="7426" max="7426" width="31.5703125" style="103" customWidth="1"/>
    <col min="7427" max="7434" width="14.7109375" style="103" customWidth="1"/>
    <col min="7435" max="7435" width="18" style="103" customWidth="1"/>
    <col min="7436" max="7436" width="18.140625" style="103" customWidth="1"/>
    <col min="7437" max="7437" width="14.28515625" style="103" customWidth="1"/>
    <col min="7438" max="7680" width="9.140625" style="103"/>
    <col min="7681" max="7681" width="14.7109375" style="103" customWidth="1"/>
    <col min="7682" max="7682" width="31.5703125" style="103" customWidth="1"/>
    <col min="7683" max="7690" width="14.7109375" style="103" customWidth="1"/>
    <col min="7691" max="7691" width="18" style="103" customWidth="1"/>
    <col min="7692" max="7692" width="18.140625" style="103" customWidth="1"/>
    <col min="7693" max="7693" width="14.28515625" style="103" customWidth="1"/>
    <col min="7694" max="7936" width="9.140625" style="103"/>
    <col min="7937" max="7937" width="14.7109375" style="103" customWidth="1"/>
    <col min="7938" max="7938" width="31.5703125" style="103" customWidth="1"/>
    <col min="7939" max="7946" width="14.7109375" style="103" customWidth="1"/>
    <col min="7947" max="7947" width="18" style="103" customWidth="1"/>
    <col min="7948" max="7948" width="18.140625" style="103" customWidth="1"/>
    <col min="7949" max="7949" width="14.28515625" style="103" customWidth="1"/>
    <col min="7950" max="8192" width="9.140625" style="103"/>
    <col min="8193" max="8193" width="14.7109375" style="103" customWidth="1"/>
    <col min="8194" max="8194" width="31.5703125" style="103" customWidth="1"/>
    <col min="8195" max="8202" width="14.7109375" style="103" customWidth="1"/>
    <col min="8203" max="8203" width="18" style="103" customWidth="1"/>
    <col min="8204" max="8204" width="18.140625" style="103" customWidth="1"/>
    <col min="8205" max="8205" width="14.28515625" style="103" customWidth="1"/>
    <col min="8206" max="8448" width="9.140625" style="103"/>
    <col min="8449" max="8449" width="14.7109375" style="103" customWidth="1"/>
    <col min="8450" max="8450" width="31.5703125" style="103" customWidth="1"/>
    <col min="8451" max="8458" width="14.7109375" style="103" customWidth="1"/>
    <col min="8459" max="8459" width="18" style="103" customWidth="1"/>
    <col min="8460" max="8460" width="18.140625" style="103" customWidth="1"/>
    <col min="8461" max="8461" width="14.28515625" style="103" customWidth="1"/>
    <col min="8462" max="8704" width="9.140625" style="103"/>
    <col min="8705" max="8705" width="14.7109375" style="103" customWidth="1"/>
    <col min="8706" max="8706" width="31.5703125" style="103" customWidth="1"/>
    <col min="8707" max="8714" width="14.7109375" style="103" customWidth="1"/>
    <col min="8715" max="8715" width="18" style="103" customWidth="1"/>
    <col min="8716" max="8716" width="18.140625" style="103" customWidth="1"/>
    <col min="8717" max="8717" width="14.28515625" style="103" customWidth="1"/>
    <col min="8718" max="8960" width="9.140625" style="103"/>
    <col min="8961" max="8961" width="14.7109375" style="103" customWidth="1"/>
    <col min="8962" max="8962" width="31.5703125" style="103" customWidth="1"/>
    <col min="8963" max="8970" width="14.7109375" style="103" customWidth="1"/>
    <col min="8971" max="8971" width="18" style="103" customWidth="1"/>
    <col min="8972" max="8972" width="18.140625" style="103" customWidth="1"/>
    <col min="8973" max="8973" width="14.28515625" style="103" customWidth="1"/>
    <col min="8974" max="9216" width="9.140625" style="103"/>
    <col min="9217" max="9217" width="14.7109375" style="103" customWidth="1"/>
    <col min="9218" max="9218" width="31.5703125" style="103" customWidth="1"/>
    <col min="9219" max="9226" width="14.7109375" style="103" customWidth="1"/>
    <col min="9227" max="9227" width="18" style="103" customWidth="1"/>
    <col min="9228" max="9228" width="18.140625" style="103" customWidth="1"/>
    <col min="9229" max="9229" width="14.28515625" style="103" customWidth="1"/>
    <col min="9230" max="9472" width="9.140625" style="103"/>
    <col min="9473" max="9473" width="14.7109375" style="103" customWidth="1"/>
    <col min="9474" max="9474" width="31.5703125" style="103" customWidth="1"/>
    <col min="9475" max="9482" width="14.7109375" style="103" customWidth="1"/>
    <col min="9483" max="9483" width="18" style="103" customWidth="1"/>
    <col min="9484" max="9484" width="18.140625" style="103" customWidth="1"/>
    <col min="9485" max="9485" width="14.28515625" style="103" customWidth="1"/>
    <col min="9486" max="9728" width="9.140625" style="103"/>
    <col min="9729" max="9729" width="14.7109375" style="103" customWidth="1"/>
    <col min="9730" max="9730" width="31.5703125" style="103" customWidth="1"/>
    <col min="9731" max="9738" width="14.7109375" style="103" customWidth="1"/>
    <col min="9739" max="9739" width="18" style="103" customWidth="1"/>
    <col min="9740" max="9740" width="18.140625" style="103" customWidth="1"/>
    <col min="9741" max="9741" width="14.28515625" style="103" customWidth="1"/>
    <col min="9742" max="9984" width="9.140625" style="103"/>
    <col min="9985" max="9985" width="14.7109375" style="103" customWidth="1"/>
    <col min="9986" max="9986" width="31.5703125" style="103" customWidth="1"/>
    <col min="9987" max="9994" width="14.7109375" style="103" customWidth="1"/>
    <col min="9995" max="9995" width="18" style="103" customWidth="1"/>
    <col min="9996" max="9996" width="18.140625" style="103" customWidth="1"/>
    <col min="9997" max="9997" width="14.28515625" style="103" customWidth="1"/>
    <col min="9998" max="10240" width="9.140625" style="103"/>
    <col min="10241" max="10241" width="14.7109375" style="103" customWidth="1"/>
    <col min="10242" max="10242" width="31.5703125" style="103" customWidth="1"/>
    <col min="10243" max="10250" width="14.7109375" style="103" customWidth="1"/>
    <col min="10251" max="10251" width="18" style="103" customWidth="1"/>
    <col min="10252" max="10252" width="18.140625" style="103" customWidth="1"/>
    <col min="10253" max="10253" width="14.28515625" style="103" customWidth="1"/>
    <col min="10254" max="10496" width="9.140625" style="103"/>
    <col min="10497" max="10497" width="14.7109375" style="103" customWidth="1"/>
    <col min="10498" max="10498" width="31.5703125" style="103" customWidth="1"/>
    <col min="10499" max="10506" width="14.7109375" style="103" customWidth="1"/>
    <col min="10507" max="10507" width="18" style="103" customWidth="1"/>
    <col min="10508" max="10508" width="18.140625" style="103" customWidth="1"/>
    <col min="10509" max="10509" width="14.28515625" style="103" customWidth="1"/>
    <col min="10510" max="10752" width="9.140625" style="103"/>
    <col min="10753" max="10753" width="14.7109375" style="103" customWidth="1"/>
    <col min="10754" max="10754" width="31.5703125" style="103" customWidth="1"/>
    <col min="10755" max="10762" width="14.7109375" style="103" customWidth="1"/>
    <col min="10763" max="10763" width="18" style="103" customWidth="1"/>
    <col min="10764" max="10764" width="18.140625" style="103" customWidth="1"/>
    <col min="10765" max="10765" width="14.28515625" style="103" customWidth="1"/>
    <col min="10766" max="11008" width="9.140625" style="103"/>
    <col min="11009" max="11009" width="14.7109375" style="103" customWidth="1"/>
    <col min="11010" max="11010" width="31.5703125" style="103" customWidth="1"/>
    <col min="11011" max="11018" width="14.7109375" style="103" customWidth="1"/>
    <col min="11019" max="11019" width="18" style="103" customWidth="1"/>
    <col min="11020" max="11020" width="18.140625" style="103" customWidth="1"/>
    <col min="11021" max="11021" width="14.28515625" style="103" customWidth="1"/>
    <col min="11022" max="11264" width="9.140625" style="103"/>
    <col min="11265" max="11265" width="14.7109375" style="103" customWidth="1"/>
    <col min="11266" max="11266" width="31.5703125" style="103" customWidth="1"/>
    <col min="11267" max="11274" width="14.7109375" style="103" customWidth="1"/>
    <col min="11275" max="11275" width="18" style="103" customWidth="1"/>
    <col min="11276" max="11276" width="18.140625" style="103" customWidth="1"/>
    <col min="11277" max="11277" width="14.28515625" style="103" customWidth="1"/>
    <col min="11278" max="11520" width="9.140625" style="103"/>
    <col min="11521" max="11521" width="14.7109375" style="103" customWidth="1"/>
    <col min="11522" max="11522" width="31.5703125" style="103" customWidth="1"/>
    <col min="11523" max="11530" width="14.7109375" style="103" customWidth="1"/>
    <col min="11531" max="11531" width="18" style="103" customWidth="1"/>
    <col min="11532" max="11532" width="18.140625" style="103" customWidth="1"/>
    <col min="11533" max="11533" width="14.28515625" style="103" customWidth="1"/>
    <col min="11534" max="11776" width="9.140625" style="103"/>
    <col min="11777" max="11777" width="14.7109375" style="103" customWidth="1"/>
    <col min="11778" max="11778" width="31.5703125" style="103" customWidth="1"/>
    <col min="11779" max="11786" width="14.7109375" style="103" customWidth="1"/>
    <col min="11787" max="11787" width="18" style="103" customWidth="1"/>
    <col min="11788" max="11788" width="18.140625" style="103" customWidth="1"/>
    <col min="11789" max="11789" width="14.28515625" style="103" customWidth="1"/>
    <col min="11790" max="12032" width="9.140625" style="103"/>
    <col min="12033" max="12033" width="14.7109375" style="103" customWidth="1"/>
    <col min="12034" max="12034" width="31.5703125" style="103" customWidth="1"/>
    <col min="12035" max="12042" width="14.7109375" style="103" customWidth="1"/>
    <col min="12043" max="12043" width="18" style="103" customWidth="1"/>
    <col min="12044" max="12044" width="18.140625" style="103" customWidth="1"/>
    <col min="12045" max="12045" width="14.28515625" style="103" customWidth="1"/>
    <col min="12046" max="12288" width="9.140625" style="103"/>
    <col min="12289" max="12289" width="14.7109375" style="103" customWidth="1"/>
    <col min="12290" max="12290" width="31.5703125" style="103" customWidth="1"/>
    <col min="12291" max="12298" width="14.7109375" style="103" customWidth="1"/>
    <col min="12299" max="12299" width="18" style="103" customWidth="1"/>
    <col min="12300" max="12300" width="18.140625" style="103" customWidth="1"/>
    <col min="12301" max="12301" width="14.28515625" style="103" customWidth="1"/>
    <col min="12302" max="12544" width="9.140625" style="103"/>
    <col min="12545" max="12545" width="14.7109375" style="103" customWidth="1"/>
    <col min="12546" max="12546" width="31.5703125" style="103" customWidth="1"/>
    <col min="12547" max="12554" width="14.7109375" style="103" customWidth="1"/>
    <col min="12555" max="12555" width="18" style="103" customWidth="1"/>
    <col min="12556" max="12556" width="18.140625" style="103" customWidth="1"/>
    <col min="12557" max="12557" width="14.28515625" style="103" customWidth="1"/>
    <col min="12558" max="12800" width="9.140625" style="103"/>
    <col min="12801" max="12801" width="14.7109375" style="103" customWidth="1"/>
    <col min="12802" max="12802" width="31.5703125" style="103" customWidth="1"/>
    <col min="12803" max="12810" width="14.7109375" style="103" customWidth="1"/>
    <col min="12811" max="12811" width="18" style="103" customWidth="1"/>
    <col min="12812" max="12812" width="18.140625" style="103" customWidth="1"/>
    <col min="12813" max="12813" width="14.28515625" style="103" customWidth="1"/>
    <col min="12814" max="13056" width="9.140625" style="103"/>
    <col min="13057" max="13057" width="14.7109375" style="103" customWidth="1"/>
    <col min="13058" max="13058" width="31.5703125" style="103" customWidth="1"/>
    <col min="13059" max="13066" width="14.7109375" style="103" customWidth="1"/>
    <col min="13067" max="13067" width="18" style="103" customWidth="1"/>
    <col min="13068" max="13068" width="18.140625" style="103" customWidth="1"/>
    <col min="13069" max="13069" width="14.28515625" style="103" customWidth="1"/>
    <col min="13070" max="13312" width="9.140625" style="103"/>
    <col min="13313" max="13313" width="14.7109375" style="103" customWidth="1"/>
    <col min="13314" max="13314" width="31.5703125" style="103" customWidth="1"/>
    <col min="13315" max="13322" width="14.7109375" style="103" customWidth="1"/>
    <col min="13323" max="13323" width="18" style="103" customWidth="1"/>
    <col min="13324" max="13324" width="18.140625" style="103" customWidth="1"/>
    <col min="13325" max="13325" width="14.28515625" style="103" customWidth="1"/>
    <col min="13326" max="13568" width="9.140625" style="103"/>
    <col min="13569" max="13569" width="14.7109375" style="103" customWidth="1"/>
    <col min="13570" max="13570" width="31.5703125" style="103" customWidth="1"/>
    <col min="13571" max="13578" width="14.7109375" style="103" customWidth="1"/>
    <col min="13579" max="13579" width="18" style="103" customWidth="1"/>
    <col min="13580" max="13580" width="18.140625" style="103" customWidth="1"/>
    <col min="13581" max="13581" width="14.28515625" style="103" customWidth="1"/>
    <col min="13582" max="13824" width="9.140625" style="103"/>
    <col min="13825" max="13825" width="14.7109375" style="103" customWidth="1"/>
    <col min="13826" max="13826" width="31.5703125" style="103" customWidth="1"/>
    <col min="13827" max="13834" width="14.7109375" style="103" customWidth="1"/>
    <col min="13835" max="13835" width="18" style="103" customWidth="1"/>
    <col min="13836" max="13836" width="18.140625" style="103" customWidth="1"/>
    <col min="13837" max="13837" width="14.28515625" style="103" customWidth="1"/>
    <col min="13838" max="14080" width="9.140625" style="103"/>
    <col min="14081" max="14081" width="14.7109375" style="103" customWidth="1"/>
    <col min="14082" max="14082" width="31.5703125" style="103" customWidth="1"/>
    <col min="14083" max="14090" width="14.7109375" style="103" customWidth="1"/>
    <col min="14091" max="14091" width="18" style="103" customWidth="1"/>
    <col min="14092" max="14092" width="18.140625" style="103" customWidth="1"/>
    <col min="14093" max="14093" width="14.28515625" style="103" customWidth="1"/>
    <col min="14094" max="14336" width="9.140625" style="103"/>
    <col min="14337" max="14337" width="14.7109375" style="103" customWidth="1"/>
    <col min="14338" max="14338" width="31.5703125" style="103" customWidth="1"/>
    <col min="14339" max="14346" width="14.7109375" style="103" customWidth="1"/>
    <col min="14347" max="14347" width="18" style="103" customWidth="1"/>
    <col min="14348" max="14348" width="18.140625" style="103" customWidth="1"/>
    <col min="14349" max="14349" width="14.28515625" style="103" customWidth="1"/>
    <col min="14350" max="14592" width="9.140625" style="103"/>
    <col min="14593" max="14593" width="14.7109375" style="103" customWidth="1"/>
    <col min="14594" max="14594" width="31.5703125" style="103" customWidth="1"/>
    <col min="14595" max="14602" width="14.7109375" style="103" customWidth="1"/>
    <col min="14603" max="14603" width="18" style="103" customWidth="1"/>
    <col min="14604" max="14604" width="18.140625" style="103" customWidth="1"/>
    <col min="14605" max="14605" width="14.28515625" style="103" customWidth="1"/>
    <col min="14606" max="14848" width="9.140625" style="103"/>
    <col min="14849" max="14849" width="14.7109375" style="103" customWidth="1"/>
    <col min="14850" max="14850" width="31.5703125" style="103" customWidth="1"/>
    <col min="14851" max="14858" width="14.7109375" style="103" customWidth="1"/>
    <col min="14859" max="14859" width="18" style="103" customWidth="1"/>
    <col min="14860" max="14860" width="18.140625" style="103" customWidth="1"/>
    <col min="14861" max="14861" width="14.28515625" style="103" customWidth="1"/>
    <col min="14862" max="15104" width="9.140625" style="103"/>
    <col min="15105" max="15105" width="14.7109375" style="103" customWidth="1"/>
    <col min="15106" max="15106" width="31.5703125" style="103" customWidth="1"/>
    <col min="15107" max="15114" width="14.7109375" style="103" customWidth="1"/>
    <col min="15115" max="15115" width="18" style="103" customWidth="1"/>
    <col min="15116" max="15116" width="18.140625" style="103" customWidth="1"/>
    <col min="15117" max="15117" width="14.28515625" style="103" customWidth="1"/>
    <col min="15118" max="15360" width="9.140625" style="103"/>
    <col min="15361" max="15361" width="14.7109375" style="103" customWidth="1"/>
    <col min="15362" max="15362" width="31.5703125" style="103" customWidth="1"/>
    <col min="15363" max="15370" width="14.7109375" style="103" customWidth="1"/>
    <col min="15371" max="15371" width="18" style="103" customWidth="1"/>
    <col min="15372" max="15372" width="18.140625" style="103" customWidth="1"/>
    <col min="15373" max="15373" width="14.28515625" style="103" customWidth="1"/>
    <col min="15374" max="15616" width="9.140625" style="103"/>
    <col min="15617" max="15617" width="14.7109375" style="103" customWidth="1"/>
    <col min="15618" max="15618" width="31.5703125" style="103" customWidth="1"/>
    <col min="15619" max="15626" width="14.7109375" style="103" customWidth="1"/>
    <col min="15627" max="15627" width="18" style="103" customWidth="1"/>
    <col min="15628" max="15628" width="18.140625" style="103" customWidth="1"/>
    <col min="15629" max="15629" width="14.28515625" style="103" customWidth="1"/>
    <col min="15630" max="15872" width="9.140625" style="103"/>
    <col min="15873" max="15873" width="14.7109375" style="103" customWidth="1"/>
    <col min="15874" max="15874" width="31.5703125" style="103" customWidth="1"/>
    <col min="15875" max="15882" width="14.7109375" style="103" customWidth="1"/>
    <col min="15883" max="15883" width="18" style="103" customWidth="1"/>
    <col min="15884" max="15884" width="18.140625" style="103" customWidth="1"/>
    <col min="15885" max="15885" width="14.28515625" style="103" customWidth="1"/>
    <col min="15886" max="16128" width="9.140625" style="103"/>
    <col min="16129" max="16129" width="14.7109375" style="103" customWidth="1"/>
    <col min="16130" max="16130" width="31.5703125" style="103" customWidth="1"/>
    <col min="16131" max="16138" width="14.7109375" style="103" customWidth="1"/>
    <col min="16139" max="16139" width="18" style="103" customWidth="1"/>
    <col min="16140" max="16140" width="18.140625" style="103" customWidth="1"/>
    <col min="16141" max="16141" width="14.28515625" style="103" customWidth="1"/>
    <col min="16142" max="16384" width="9.140625" style="103"/>
  </cols>
  <sheetData>
    <row r="1" spans="1:10" ht="16.5" customHeight="1" x14ac:dyDescent="0.25">
      <c r="A1" s="264" t="s">
        <v>25</v>
      </c>
      <c r="B1" s="264"/>
      <c r="C1" s="264"/>
      <c r="D1" s="264"/>
      <c r="E1" s="264"/>
      <c r="F1" s="264"/>
      <c r="G1" s="264"/>
      <c r="H1" s="264"/>
      <c r="I1" s="264"/>
      <c r="J1" s="264"/>
    </row>
    <row r="2" spans="1:10" ht="16.5" customHeight="1" x14ac:dyDescent="0.25">
      <c r="A2" s="264"/>
      <c r="B2" s="264"/>
      <c r="C2" s="264"/>
      <c r="D2" s="264"/>
      <c r="E2" s="264"/>
      <c r="F2" s="264"/>
      <c r="G2" s="264"/>
      <c r="H2" s="264"/>
      <c r="I2" s="264"/>
      <c r="J2" s="264"/>
    </row>
    <row r="3" spans="1:10" ht="16.5" customHeight="1" x14ac:dyDescent="0.25">
      <c r="A3" s="264"/>
      <c r="B3" s="264"/>
      <c r="C3" s="264"/>
      <c r="D3" s="264"/>
      <c r="E3" s="264"/>
      <c r="F3" s="264"/>
      <c r="G3" s="264"/>
      <c r="H3" s="264"/>
      <c r="I3" s="264"/>
      <c r="J3" s="264"/>
    </row>
    <row r="4" spans="1:10" ht="16.5" customHeight="1" x14ac:dyDescent="0.25">
      <c r="A4" s="217" t="str">
        <f>'[3]Planilha orçamentária-Evento'!A4:I4</f>
        <v>OBRA POR EXECUÇÃO INDIRETA</v>
      </c>
      <c r="B4" s="217"/>
      <c r="C4" s="217"/>
      <c r="D4" s="217"/>
      <c r="E4" s="217"/>
      <c r="F4" s="217"/>
      <c r="G4" s="217"/>
      <c r="H4" s="217"/>
      <c r="I4" s="217"/>
      <c r="J4" s="217"/>
    </row>
    <row r="5" spans="1:10" ht="16.5" customHeight="1" x14ac:dyDescent="0.25">
      <c r="A5" s="265" t="str">
        <f>'[3]Planilha orçamentária-Evento'!A5:I5</f>
        <v>Setor requisitante: Secretaria Municipal de Obras e Serviços Urbanos</v>
      </c>
      <c r="B5" s="265"/>
      <c r="C5" s="265"/>
      <c r="D5" s="265"/>
      <c r="E5" s="265"/>
      <c r="F5" s="265"/>
      <c r="G5" s="265"/>
      <c r="H5" s="265"/>
      <c r="I5" s="265"/>
      <c r="J5" s="265"/>
    </row>
    <row r="6" spans="1:10" ht="16.5" customHeight="1" x14ac:dyDescent="0.25">
      <c r="A6" s="265" t="str">
        <f>'[3]Planilha orçamentária-Evento'!A6:A7</f>
        <v>Objeto:</v>
      </c>
      <c r="B6" s="268" t="str">
        <f>'Plan. Orçamentária'!C6</f>
        <v>LOTE 03 - Pavimentação de via em piso de concreto pré-moldado intertravado, tipo Sextavado - Rua Antônio Muzzi e Rua Vicente Augusto, bairro Santa Maria - Nova Era/MG</v>
      </c>
      <c r="C6" s="269"/>
      <c r="D6" s="269"/>
      <c r="E6" s="269"/>
      <c r="F6" s="269"/>
      <c r="G6" s="269"/>
      <c r="H6" s="269"/>
      <c r="I6" s="270"/>
      <c r="J6" s="274">
        <f ca="1">'Plan. Orçamentária'!I6:I7</f>
        <v>44887</v>
      </c>
    </row>
    <row r="7" spans="1:10" ht="16.5" customHeight="1" x14ac:dyDescent="0.25">
      <c r="A7" s="265"/>
      <c r="B7" s="271"/>
      <c r="C7" s="272"/>
      <c r="D7" s="272"/>
      <c r="E7" s="272"/>
      <c r="F7" s="272"/>
      <c r="G7" s="272"/>
      <c r="H7" s="272"/>
      <c r="I7" s="273"/>
      <c r="J7" s="274"/>
    </row>
    <row r="8" spans="1:10" ht="16.5" customHeight="1" x14ac:dyDescent="0.25">
      <c r="A8" s="217" t="s">
        <v>90</v>
      </c>
      <c r="B8" s="217"/>
      <c r="C8" s="217"/>
      <c r="D8" s="217"/>
      <c r="E8" s="217"/>
      <c r="F8" s="217"/>
      <c r="G8" s="217"/>
      <c r="H8" s="217"/>
      <c r="I8" s="217"/>
      <c r="J8" s="217"/>
    </row>
    <row r="9" spans="1:10" ht="16.5" customHeight="1" x14ac:dyDescent="0.25">
      <c r="A9" s="253"/>
      <c r="B9" s="253"/>
      <c r="C9" s="253"/>
      <c r="D9" s="253"/>
      <c r="E9" s="253"/>
      <c r="F9" s="253"/>
      <c r="G9" s="253"/>
      <c r="H9" s="253"/>
      <c r="I9" s="253"/>
      <c r="J9" s="253"/>
    </row>
    <row r="10" spans="1:10" ht="16.5" customHeight="1" x14ac:dyDescent="0.25">
      <c r="A10" s="266" t="s">
        <v>91</v>
      </c>
      <c r="B10" s="266"/>
      <c r="C10" s="266"/>
      <c r="D10" s="266"/>
      <c r="E10" s="266"/>
      <c r="F10" s="266"/>
      <c r="G10" s="266"/>
      <c r="H10" s="266"/>
      <c r="I10" s="267">
        <v>0.9</v>
      </c>
      <c r="J10" s="267"/>
    </row>
    <row r="11" spans="1:10" ht="16.5" customHeight="1" x14ac:dyDescent="0.25">
      <c r="A11" s="266" t="s">
        <v>92</v>
      </c>
      <c r="B11" s="266"/>
      <c r="C11" s="266"/>
      <c r="D11" s="266"/>
      <c r="E11" s="266"/>
      <c r="F11" s="266"/>
      <c r="G11" s="266"/>
      <c r="H11" s="266"/>
      <c r="I11" s="267">
        <v>0.05</v>
      </c>
      <c r="J11" s="267"/>
    </row>
    <row r="12" spans="1:10" ht="16.5" customHeight="1" x14ac:dyDescent="0.25">
      <c r="A12" s="253"/>
      <c r="B12" s="253"/>
      <c r="C12" s="253"/>
      <c r="D12" s="253"/>
      <c r="E12" s="253"/>
      <c r="F12" s="253"/>
      <c r="G12" s="253"/>
      <c r="H12" s="253"/>
      <c r="I12" s="253"/>
      <c r="J12" s="253"/>
    </row>
    <row r="13" spans="1:10" ht="16.5" customHeight="1" x14ac:dyDescent="0.25">
      <c r="A13" s="164" t="s">
        <v>93</v>
      </c>
      <c r="B13" s="164"/>
      <c r="C13" s="164"/>
      <c r="D13" s="164"/>
      <c r="E13" s="164"/>
      <c r="F13" s="164"/>
      <c r="G13" s="164"/>
      <c r="H13" s="164"/>
      <c r="I13" s="164"/>
      <c r="J13" s="164"/>
    </row>
    <row r="14" spans="1:10" ht="16.5" customHeight="1" x14ac:dyDescent="0.25">
      <c r="A14" s="254"/>
      <c r="B14" s="255"/>
      <c r="C14" s="255"/>
      <c r="D14" s="255"/>
      <c r="E14" s="255"/>
      <c r="F14" s="255"/>
      <c r="G14" s="255"/>
      <c r="H14" s="255"/>
      <c r="I14" s="255"/>
      <c r="J14" s="256"/>
    </row>
    <row r="15" spans="1:10" ht="16.5" customHeight="1" x14ac:dyDescent="0.25">
      <c r="A15" s="257" t="s">
        <v>94</v>
      </c>
      <c r="B15" s="257"/>
      <c r="C15" s="257"/>
      <c r="D15" s="257"/>
      <c r="E15" s="257"/>
      <c r="F15" s="257"/>
      <c r="G15" s="257"/>
      <c r="H15" s="257"/>
      <c r="I15" s="257"/>
      <c r="J15" s="257"/>
    </row>
    <row r="16" spans="1:10" ht="16.5" customHeight="1" x14ac:dyDescent="0.25">
      <c r="A16" s="275" t="s">
        <v>225</v>
      </c>
      <c r="B16" s="275"/>
      <c r="C16" s="275"/>
      <c r="D16" s="275"/>
      <c r="E16" s="275"/>
      <c r="F16" s="275"/>
      <c r="G16" s="275"/>
      <c r="H16" s="275"/>
      <c r="I16" s="275"/>
      <c r="J16" s="275"/>
    </row>
    <row r="17" spans="1:13" ht="16.5" customHeight="1" x14ac:dyDescent="0.25">
      <c r="A17" s="253"/>
      <c r="B17" s="253"/>
      <c r="C17" s="253"/>
      <c r="D17" s="253"/>
      <c r="E17" s="253"/>
      <c r="F17" s="253"/>
      <c r="G17" s="253"/>
      <c r="H17" s="253"/>
      <c r="I17" s="253"/>
      <c r="J17" s="253"/>
    </row>
    <row r="18" spans="1:13" ht="16.5" customHeight="1" x14ac:dyDescent="0.25">
      <c r="A18" s="263" t="s">
        <v>95</v>
      </c>
      <c r="B18" s="263"/>
      <c r="C18" s="263"/>
      <c r="D18" s="263"/>
      <c r="E18" s="263"/>
      <c r="F18" s="263"/>
      <c r="G18" s="263"/>
      <c r="H18" s="263"/>
      <c r="I18" s="107" t="s">
        <v>96</v>
      </c>
      <c r="J18" s="69" t="s">
        <v>97</v>
      </c>
    </row>
    <row r="19" spans="1:13" ht="16.5" customHeight="1" x14ac:dyDescent="0.25">
      <c r="A19" s="258" t="s">
        <v>226</v>
      </c>
      <c r="B19" s="258"/>
      <c r="C19" s="258"/>
      <c r="D19" s="258"/>
      <c r="E19" s="258"/>
      <c r="F19" s="258"/>
      <c r="G19" s="258"/>
      <c r="H19" s="258"/>
      <c r="I19" s="70" t="s">
        <v>98</v>
      </c>
      <c r="J19" s="36">
        <v>4.0099999999999997E-2</v>
      </c>
    </row>
    <row r="20" spans="1:13" ht="16.5" customHeight="1" x14ac:dyDescent="0.25">
      <c r="A20" s="258" t="s">
        <v>227</v>
      </c>
      <c r="B20" s="258"/>
      <c r="C20" s="258"/>
      <c r="D20" s="258"/>
      <c r="E20" s="258"/>
      <c r="F20" s="258"/>
      <c r="G20" s="258"/>
      <c r="H20" s="258"/>
      <c r="I20" s="70" t="s">
        <v>99</v>
      </c>
      <c r="J20" s="36">
        <v>4.0000000000000001E-3</v>
      </c>
    </row>
    <row r="21" spans="1:13" ht="16.5" customHeight="1" x14ac:dyDescent="0.25">
      <c r="A21" s="258" t="s">
        <v>228</v>
      </c>
      <c r="B21" s="258"/>
      <c r="C21" s="258"/>
      <c r="D21" s="258"/>
      <c r="E21" s="258"/>
      <c r="F21" s="258"/>
      <c r="G21" s="258"/>
      <c r="H21" s="258"/>
      <c r="I21" s="70" t="s">
        <v>100</v>
      </c>
      <c r="J21" s="36">
        <v>5.5999999999999999E-3</v>
      </c>
    </row>
    <row r="22" spans="1:13" ht="16.5" customHeight="1" x14ac:dyDescent="0.25">
      <c r="A22" s="258" t="s">
        <v>229</v>
      </c>
      <c r="B22" s="258"/>
      <c r="C22" s="258"/>
      <c r="D22" s="258"/>
      <c r="E22" s="258"/>
      <c r="F22" s="258"/>
      <c r="G22" s="258"/>
      <c r="H22" s="258"/>
      <c r="I22" s="70" t="s">
        <v>101</v>
      </c>
      <c r="J22" s="36">
        <v>1.11E-2</v>
      </c>
    </row>
    <row r="23" spans="1:13" ht="16.5" customHeight="1" x14ac:dyDescent="0.25">
      <c r="A23" s="258" t="s">
        <v>230</v>
      </c>
      <c r="B23" s="258"/>
      <c r="C23" s="258"/>
      <c r="D23" s="258"/>
      <c r="E23" s="258"/>
      <c r="F23" s="258"/>
      <c r="G23" s="258"/>
      <c r="H23" s="258"/>
      <c r="I23" s="70" t="s">
        <v>102</v>
      </c>
      <c r="J23" s="36">
        <v>7.2999999999999995E-2</v>
      </c>
    </row>
    <row r="24" spans="1:13" ht="16.5" customHeight="1" x14ac:dyDescent="0.25">
      <c r="A24" s="258" t="s">
        <v>103</v>
      </c>
      <c r="B24" s="258"/>
      <c r="C24" s="258"/>
      <c r="D24" s="258"/>
      <c r="E24" s="258"/>
      <c r="F24" s="258"/>
      <c r="G24" s="258"/>
      <c r="H24" s="258"/>
      <c r="I24" s="70" t="s">
        <v>104</v>
      </c>
      <c r="J24" s="36">
        <v>3.6499999999999998E-2</v>
      </c>
    </row>
    <row r="25" spans="1:13" ht="16.5" customHeight="1" x14ac:dyDescent="0.25">
      <c r="A25" s="258" t="s">
        <v>105</v>
      </c>
      <c r="B25" s="258"/>
      <c r="C25" s="258"/>
      <c r="D25" s="258"/>
      <c r="E25" s="258"/>
      <c r="F25" s="258"/>
      <c r="G25" s="258"/>
      <c r="H25" s="258"/>
      <c r="I25" s="70" t="s">
        <v>106</v>
      </c>
      <c r="J25" s="71">
        <f>I11*I10</f>
        <v>4.4999999999999998E-2</v>
      </c>
    </row>
    <row r="26" spans="1:13" ht="16.5" customHeight="1" x14ac:dyDescent="0.25">
      <c r="A26" s="258" t="s">
        <v>107</v>
      </c>
      <c r="B26" s="258"/>
      <c r="C26" s="258"/>
      <c r="D26" s="258"/>
      <c r="E26" s="258"/>
      <c r="F26" s="258"/>
      <c r="G26" s="258"/>
      <c r="H26" s="258"/>
      <c r="I26" s="70" t="s">
        <v>108</v>
      </c>
      <c r="J26" s="71">
        <v>4.4999999999999998E-2</v>
      </c>
    </row>
    <row r="27" spans="1:13" ht="16.5" customHeight="1" x14ac:dyDescent="0.25">
      <c r="A27" s="258" t="s">
        <v>109</v>
      </c>
      <c r="B27" s="258"/>
      <c r="C27" s="258"/>
      <c r="D27" s="258"/>
      <c r="E27" s="258"/>
      <c r="F27" s="258"/>
      <c r="G27" s="258"/>
      <c r="H27" s="258"/>
      <c r="I27" s="72" t="s">
        <v>110</v>
      </c>
      <c r="J27" s="71">
        <f>(((1+J19+J20+J21)*(1+J22)*(1+J23))/(1-(J24+J25)))-1</f>
        <v>0.2399</v>
      </c>
    </row>
    <row r="28" spans="1:13" ht="16.5" customHeight="1" x14ac:dyDescent="0.25">
      <c r="A28" s="259" t="s">
        <v>111</v>
      </c>
      <c r="B28" s="259"/>
      <c r="C28" s="259"/>
      <c r="D28" s="259"/>
      <c r="E28" s="259"/>
      <c r="F28" s="259"/>
      <c r="G28" s="259"/>
      <c r="H28" s="259"/>
      <c r="I28" s="108" t="s">
        <v>112</v>
      </c>
      <c r="J28" s="74">
        <f>(((1+(J19+J20+J21))*(1+J22)*(1+J23))/(1-(J24+J25+J26)))-1</f>
        <v>0.30380000000000001</v>
      </c>
    </row>
    <row r="29" spans="1:13" ht="16.5" customHeight="1" x14ac:dyDescent="0.25">
      <c r="A29" s="260"/>
      <c r="B29" s="261"/>
      <c r="C29" s="261"/>
      <c r="D29" s="261"/>
      <c r="E29" s="261"/>
      <c r="F29" s="261"/>
      <c r="G29" s="261"/>
      <c r="H29" s="261"/>
      <c r="I29" s="261"/>
      <c r="J29" s="262"/>
    </row>
    <row r="30" spans="1:13" ht="16.5" customHeight="1" x14ac:dyDescent="0.25">
      <c r="A30" s="109"/>
      <c r="B30" s="110"/>
      <c r="C30" s="110"/>
      <c r="D30" s="110"/>
      <c r="E30" s="110"/>
      <c r="F30" s="110"/>
      <c r="G30" s="110"/>
      <c r="H30" s="110"/>
      <c r="I30" s="110"/>
      <c r="J30" s="111"/>
    </row>
    <row r="31" spans="1:13" s="37" customFormat="1" ht="16.5" customHeight="1" x14ac:dyDescent="0.25">
      <c r="A31" s="240" t="s">
        <v>113</v>
      </c>
      <c r="B31" s="241"/>
      <c r="C31" s="241"/>
      <c r="D31" s="241"/>
      <c r="E31" s="241"/>
      <c r="F31" s="241"/>
      <c r="G31" s="241"/>
      <c r="H31" s="241"/>
      <c r="I31" s="241"/>
      <c r="J31" s="242"/>
      <c r="L31" s="73"/>
      <c r="M31" s="73"/>
    </row>
    <row r="32" spans="1:13" s="37" customFormat="1" ht="16.5" customHeight="1" x14ac:dyDescent="0.25">
      <c r="A32" s="240"/>
      <c r="B32" s="241"/>
      <c r="C32" s="241"/>
      <c r="D32" s="241"/>
      <c r="E32" s="241"/>
      <c r="F32" s="241"/>
      <c r="G32" s="241"/>
      <c r="H32" s="241"/>
      <c r="I32" s="241"/>
      <c r="J32" s="242"/>
      <c r="L32" s="73"/>
    </row>
    <row r="33" spans="1:10" s="37" customFormat="1" ht="16.5" customHeight="1" x14ac:dyDescent="0.25">
      <c r="A33" s="240"/>
      <c r="B33" s="241"/>
      <c r="C33" s="241"/>
      <c r="D33" s="241"/>
      <c r="E33" s="241"/>
      <c r="F33" s="241"/>
      <c r="G33" s="241"/>
      <c r="H33" s="241"/>
      <c r="I33" s="241"/>
      <c r="J33" s="242"/>
    </row>
    <row r="34" spans="1:10" s="37" customFormat="1" ht="16.5" customHeight="1" x14ac:dyDescent="0.25">
      <c r="A34" s="240"/>
      <c r="B34" s="241"/>
      <c r="C34" s="241"/>
      <c r="D34" s="241"/>
      <c r="E34" s="241"/>
      <c r="F34" s="241"/>
      <c r="G34" s="241"/>
      <c r="H34" s="241"/>
      <c r="I34" s="241"/>
      <c r="J34" s="242"/>
    </row>
    <row r="35" spans="1:10" s="37" customFormat="1" ht="16.5" customHeight="1" x14ac:dyDescent="0.25">
      <c r="A35" s="243"/>
      <c r="B35" s="244"/>
      <c r="C35" s="244"/>
      <c r="D35" s="244"/>
      <c r="E35" s="244"/>
      <c r="F35" s="244"/>
      <c r="G35" s="244"/>
      <c r="H35" s="244"/>
      <c r="I35" s="244"/>
      <c r="J35" s="245"/>
    </row>
    <row r="36" spans="1:10" ht="16.5" customHeight="1" x14ac:dyDescent="0.25">
      <c r="A36" s="246"/>
      <c r="B36" s="247"/>
      <c r="C36" s="247"/>
      <c r="D36" s="247"/>
      <c r="E36" s="247"/>
      <c r="F36" s="247"/>
      <c r="G36" s="247"/>
      <c r="H36" s="247"/>
      <c r="I36" s="247"/>
      <c r="J36" s="248"/>
    </row>
    <row r="37" spans="1:10" ht="16.5" customHeight="1" x14ac:dyDescent="0.25">
      <c r="A37" s="249" t="s">
        <v>231</v>
      </c>
      <c r="B37" s="249"/>
      <c r="C37" s="249"/>
      <c r="D37" s="249"/>
      <c r="E37" s="249"/>
      <c r="F37" s="249"/>
      <c r="G37" s="249"/>
      <c r="H37" s="249"/>
      <c r="I37" s="249"/>
      <c r="J37" s="249"/>
    </row>
    <row r="38" spans="1:10" ht="16.5" customHeight="1" x14ac:dyDescent="0.25">
      <c r="A38" s="249"/>
      <c r="B38" s="249"/>
      <c r="C38" s="249"/>
      <c r="D38" s="249"/>
      <c r="E38" s="249"/>
      <c r="F38" s="249"/>
      <c r="G38" s="249"/>
      <c r="H38" s="249"/>
      <c r="I38" s="249"/>
      <c r="J38" s="249"/>
    </row>
    <row r="39" spans="1:10" ht="16.5" customHeight="1" x14ac:dyDescent="0.25">
      <c r="A39" s="249"/>
      <c r="B39" s="249"/>
      <c r="C39" s="249"/>
      <c r="D39" s="249"/>
      <c r="E39" s="249"/>
      <c r="F39" s="249"/>
      <c r="G39" s="249"/>
      <c r="H39" s="249"/>
      <c r="I39" s="249"/>
      <c r="J39" s="249"/>
    </row>
    <row r="40" spans="1:10" ht="16.5" customHeight="1" x14ac:dyDescent="0.2">
      <c r="A40" s="250"/>
      <c r="B40" s="251"/>
      <c r="C40" s="251"/>
      <c r="D40" s="251"/>
      <c r="E40" s="251"/>
      <c r="F40" s="251"/>
      <c r="G40" s="251"/>
      <c r="H40" s="251"/>
      <c r="I40" s="251"/>
      <c r="J40" s="252"/>
    </row>
    <row r="41" spans="1:10" ht="16.5" customHeight="1" x14ac:dyDescent="0.25">
      <c r="A41" s="249" t="s">
        <v>232</v>
      </c>
      <c r="B41" s="249"/>
      <c r="C41" s="249"/>
      <c r="D41" s="249"/>
      <c r="E41" s="249"/>
      <c r="F41" s="249"/>
      <c r="G41" s="249"/>
      <c r="H41" s="249"/>
      <c r="I41" s="249"/>
      <c r="J41" s="249"/>
    </row>
    <row r="42" spans="1:10" ht="16.5" customHeight="1" x14ac:dyDescent="0.25">
      <c r="A42" s="249"/>
      <c r="B42" s="249"/>
      <c r="C42" s="249"/>
      <c r="D42" s="249"/>
      <c r="E42" s="249"/>
      <c r="F42" s="249"/>
      <c r="G42" s="249"/>
      <c r="H42" s="249"/>
      <c r="I42" s="249"/>
      <c r="J42" s="249"/>
    </row>
    <row r="43" spans="1:10" ht="16.5" customHeight="1" x14ac:dyDescent="0.25">
      <c r="A43" s="249"/>
      <c r="B43" s="249"/>
      <c r="C43" s="249"/>
      <c r="D43" s="249"/>
      <c r="E43" s="249"/>
      <c r="F43" s="249"/>
      <c r="G43" s="249"/>
      <c r="H43" s="249"/>
      <c r="I43" s="249"/>
      <c r="J43" s="249"/>
    </row>
    <row r="44" spans="1:10" ht="16.5" customHeight="1" x14ac:dyDescent="0.2">
      <c r="A44" s="250"/>
      <c r="B44" s="251"/>
      <c r="C44" s="251"/>
      <c r="D44" s="251"/>
      <c r="E44" s="251"/>
      <c r="F44" s="251"/>
      <c r="G44" s="251"/>
      <c r="H44" s="251"/>
      <c r="I44" s="251"/>
      <c r="J44" s="252"/>
    </row>
    <row r="45" spans="1:10" ht="16.5" customHeight="1" x14ac:dyDescent="0.2">
      <c r="A45" s="236" t="s">
        <v>24</v>
      </c>
      <c r="B45" s="237"/>
      <c r="C45" s="237"/>
      <c r="D45" s="237"/>
      <c r="E45" s="237"/>
      <c r="F45" s="237"/>
      <c r="G45" s="237"/>
      <c r="H45" s="237"/>
      <c r="I45" s="237"/>
      <c r="J45" s="238"/>
    </row>
    <row r="46" spans="1:10" ht="16.5" customHeight="1" x14ac:dyDescent="0.25">
      <c r="A46" s="239"/>
      <c r="B46" s="239"/>
      <c r="C46" s="239"/>
      <c r="D46" s="239"/>
      <c r="E46" s="239"/>
      <c r="F46" s="239"/>
      <c r="G46" s="239"/>
      <c r="H46" s="239"/>
      <c r="I46" s="239"/>
      <c r="J46" s="239"/>
    </row>
    <row r="47" spans="1:10" ht="16.5" customHeight="1" x14ac:dyDescent="0.25">
      <c r="A47" s="239"/>
      <c r="B47" s="239"/>
      <c r="C47" s="239"/>
      <c r="D47" s="239"/>
      <c r="E47" s="239"/>
      <c r="F47" s="239"/>
      <c r="G47" s="239"/>
      <c r="H47" s="239"/>
      <c r="I47" s="239"/>
      <c r="J47" s="239"/>
    </row>
    <row r="48" spans="1:10" ht="16.5" customHeight="1" x14ac:dyDescent="0.25">
      <c r="A48" s="239"/>
      <c r="B48" s="239"/>
      <c r="C48" s="239"/>
      <c r="D48" s="239"/>
      <c r="E48" s="239"/>
      <c r="F48" s="239"/>
      <c r="G48" s="239"/>
      <c r="H48" s="239"/>
      <c r="I48" s="239"/>
      <c r="J48" s="239"/>
    </row>
    <row r="49" spans="1:10" ht="16.5" customHeight="1" x14ac:dyDescent="0.25">
      <c r="A49" s="239"/>
      <c r="B49" s="239"/>
      <c r="C49" s="239"/>
      <c r="D49" s="239"/>
      <c r="E49" s="239"/>
      <c r="F49" s="239"/>
      <c r="G49" s="239"/>
      <c r="H49" s="239"/>
      <c r="I49" s="239"/>
      <c r="J49" s="239"/>
    </row>
    <row r="50" spans="1:10" ht="16.5" customHeight="1" x14ac:dyDescent="0.25">
      <c r="A50" s="239"/>
      <c r="B50" s="239"/>
      <c r="C50" s="239"/>
      <c r="D50" s="239"/>
      <c r="E50" s="239"/>
      <c r="F50" s="239"/>
      <c r="G50" s="239"/>
      <c r="H50" s="239"/>
      <c r="I50" s="239"/>
      <c r="J50" s="239"/>
    </row>
    <row r="51" spans="1:10" ht="16.5" customHeight="1" x14ac:dyDescent="0.25">
      <c r="A51" s="239"/>
      <c r="B51" s="239"/>
      <c r="C51" s="239"/>
      <c r="D51" s="239"/>
      <c r="E51" s="239"/>
      <c r="F51" s="239"/>
      <c r="G51" s="239"/>
      <c r="H51" s="239"/>
      <c r="I51" s="239"/>
      <c r="J51" s="239"/>
    </row>
    <row r="52" spans="1:10" ht="16.5" customHeight="1" x14ac:dyDescent="0.25">
      <c r="A52" s="239"/>
      <c r="B52" s="239"/>
      <c r="C52" s="239"/>
      <c r="D52" s="239"/>
      <c r="E52" s="239"/>
      <c r="F52" s="239"/>
      <c r="G52" s="239"/>
      <c r="H52" s="239"/>
      <c r="I52" s="239"/>
      <c r="J52" s="239"/>
    </row>
  </sheetData>
  <mergeCells count="39">
    <mergeCell ref="A18:H18"/>
    <mergeCell ref="A19:H19"/>
    <mergeCell ref="A1:J3"/>
    <mergeCell ref="A4:J4"/>
    <mergeCell ref="A5:J5"/>
    <mergeCell ref="A10:H10"/>
    <mergeCell ref="I10:J10"/>
    <mergeCell ref="A6:A7"/>
    <mergeCell ref="B6:I7"/>
    <mergeCell ref="J6:J7"/>
    <mergeCell ref="A8:J8"/>
    <mergeCell ref="A9:J9"/>
    <mergeCell ref="A11:H11"/>
    <mergeCell ref="I11:J11"/>
    <mergeCell ref="A13:J13"/>
    <mergeCell ref="A16:J16"/>
    <mergeCell ref="A17:J17"/>
    <mergeCell ref="A12:J12"/>
    <mergeCell ref="A14:J14"/>
    <mergeCell ref="A15:J15"/>
    <mergeCell ref="A44:J44"/>
    <mergeCell ref="A20:H20"/>
    <mergeCell ref="A21:H21"/>
    <mergeCell ref="A22:H22"/>
    <mergeCell ref="A23:H23"/>
    <mergeCell ref="A24:H24"/>
    <mergeCell ref="A25:H25"/>
    <mergeCell ref="A26:H26"/>
    <mergeCell ref="A27:H27"/>
    <mergeCell ref="A28:H28"/>
    <mergeCell ref="A31:J31"/>
    <mergeCell ref="A29:J29"/>
    <mergeCell ref="A45:J45"/>
    <mergeCell ref="A46:J52"/>
    <mergeCell ref="A32:J35"/>
    <mergeCell ref="A36:J36"/>
    <mergeCell ref="A37:J39"/>
    <mergeCell ref="A40:J40"/>
    <mergeCell ref="A41:J43"/>
  </mergeCells>
  <conditionalFormatting sqref="A27:I27 A28">
    <cfRule type="expression" dxfId="2" priority="3" stopIfTrue="1">
      <formula>DESONERACAO="não"</formula>
    </cfRule>
  </conditionalFormatting>
  <conditionalFormatting sqref="J27">
    <cfRule type="expression" dxfId="1" priority="2" stopIfTrue="1">
      <formula>DESONERACAO="não"</formula>
    </cfRule>
  </conditionalFormatting>
  <conditionalFormatting sqref="J26">
    <cfRule type="expression" dxfId="0" priority="1" stopIfTrue="1">
      <formula>DESONERACAO="não"</formula>
    </cfRule>
  </conditionalFormatting>
  <dataValidations count="5">
    <dataValidation type="decimal" allowBlank="1" showErrorMessage="1" errorTitle="Erro de valores" error="Digite um valor entre 0% e 100%" sqref="J18:J23 JF18:JF23 TB18:TB23 ACX18:ACX23 AMT18:AMT23 AWP18:AWP23 BGL18:BGL23 BQH18:BQH23 CAD18:CAD23 CJZ18:CJZ23 CTV18:CTV23 DDR18:DDR23 DNN18:DNN23 DXJ18:DXJ23 EHF18:EHF23 ERB18:ERB23 FAX18:FAX23 FKT18:FKT23 FUP18:FUP23 GEL18:GEL23 GOH18:GOH23 GYD18:GYD23 HHZ18:HHZ23 HRV18:HRV23 IBR18:IBR23 ILN18:ILN23 IVJ18:IVJ23 JFF18:JFF23 JPB18:JPB23 JYX18:JYX23 KIT18:KIT23 KSP18:KSP23 LCL18:LCL23 LMH18:LMH23 LWD18:LWD23 MFZ18:MFZ23 MPV18:MPV23 MZR18:MZR23 NJN18:NJN23 NTJ18:NTJ23 ODF18:ODF23 ONB18:ONB23 OWX18:OWX23 PGT18:PGT23 PQP18:PQP23 QAL18:QAL23 QKH18:QKH23 QUD18:QUD23 RDZ18:RDZ23 RNV18:RNV23 RXR18:RXR23 SHN18:SHN23 SRJ18:SRJ23 TBF18:TBF23 TLB18:TLB23 TUX18:TUX23 UET18:UET23 UOP18:UOP23 UYL18:UYL23 VIH18:VIH23 VSD18:VSD23 WBZ18:WBZ23 WLV18:WLV23 WVR18:WVR23 J65554:J65559 JF65554:JF65559 TB65554:TB65559 ACX65554:ACX65559 AMT65554:AMT65559 AWP65554:AWP65559 BGL65554:BGL65559 BQH65554:BQH65559 CAD65554:CAD65559 CJZ65554:CJZ65559 CTV65554:CTV65559 DDR65554:DDR65559 DNN65554:DNN65559 DXJ65554:DXJ65559 EHF65554:EHF65559 ERB65554:ERB65559 FAX65554:FAX65559 FKT65554:FKT65559 FUP65554:FUP65559 GEL65554:GEL65559 GOH65554:GOH65559 GYD65554:GYD65559 HHZ65554:HHZ65559 HRV65554:HRV65559 IBR65554:IBR65559 ILN65554:ILN65559 IVJ65554:IVJ65559 JFF65554:JFF65559 JPB65554:JPB65559 JYX65554:JYX65559 KIT65554:KIT65559 KSP65554:KSP65559 LCL65554:LCL65559 LMH65554:LMH65559 LWD65554:LWD65559 MFZ65554:MFZ65559 MPV65554:MPV65559 MZR65554:MZR65559 NJN65554:NJN65559 NTJ65554:NTJ65559 ODF65554:ODF65559 ONB65554:ONB65559 OWX65554:OWX65559 PGT65554:PGT65559 PQP65554:PQP65559 QAL65554:QAL65559 QKH65554:QKH65559 QUD65554:QUD65559 RDZ65554:RDZ65559 RNV65554:RNV65559 RXR65554:RXR65559 SHN65554:SHN65559 SRJ65554:SRJ65559 TBF65554:TBF65559 TLB65554:TLB65559 TUX65554:TUX65559 UET65554:UET65559 UOP65554:UOP65559 UYL65554:UYL65559 VIH65554:VIH65559 VSD65554:VSD65559 WBZ65554:WBZ65559 WLV65554:WLV65559 WVR65554:WVR65559 J131090:J131095 JF131090:JF131095 TB131090:TB131095 ACX131090:ACX131095 AMT131090:AMT131095 AWP131090:AWP131095 BGL131090:BGL131095 BQH131090:BQH131095 CAD131090:CAD131095 CJZ131090:CJZ131095 CTV131090:CTV131095 DDR131090:DDR131095 DNN131090:DNN131095 DXJ131090:DXJ131095 EHF131090:EHF131095 ERB131090:ERB131095 FAX131090:FAX131095 FKT131090:FKT131095 FUP131090:FUP131095 GEL131090:GEL131095 GOH131090:GOH131095 GYD131090:GYD131095 HHZ131090:HHZ131095 HRV131090:HRV131095 IBR131090:IBR131095 ILN131090:ILN131095 IVJ131090:IVJ131095 JFF131090:JFF131095 JPB131090:JPB131095 JYX131090:JYX131095 KIT131090:KIT131095 KSP131090:KSP131095 LCL131090:LCL131095 LMH131090:LMH131095 LWD131090:LWD131095 MFZ131090:MFZ131095 MPV131090:MPV131095 MZR131090:MZR131095 NJN131090:NJN131095 NTJ131090:NTJ131095 ODF131090:ODF131095 ONB131090:ONB131095 OWX131090:OWX131095 PGT131090:PGT131095 PQP131090:PQP131095 QAL131090:QAL131095 QKH131090:QKH131095 QUD131090:QUD131095 RDZ131090:RDZ131095 RNV131090:RNV131095 RXR131090:RXR131095 SHN131090:SHN131095 SRJ131090:SRJ131095 TBF131090:TBF131095 TLB131090:TLB131095 TUX131090:TUX131095 UET131090:UET131095 UOP131090:UOP131095 UYL131090:UYL131095 VIH131090:VIH131095 VSD131090:VSD131095 WBZ131090:WBZ131095 WLV131090:WLV131095 WVR131090:WVR131095 J196626:J196631 JF196626:JF196631 TB196626:TB196631 ACX196626:ACX196631 AMT196626:AMT196631 AWP196626:AWP196631 BGL196626:BGL196631 BQH196626:BQH196631 CAD196626:CAD196631 CJZ196626:CJZ196631 CTV196626:CTV196631 DDR196626:DDR196631 DNN196626:DNN196631 DXJ196626:DXJ196631 EHF196626:EHF196631 ERB196626:ERB196631 FAX196626:FAX196631 FKT196626:FKT196631 FUP196626:FUP196631 GEL196626:GEL196631 GOH196626:GOH196631 GYD196626:GYD196631 HHZ196626:HHZ196631 HRV196626:HRV196631 IBR196626:IBR196631 ILN196626:ILN196631 IVJ196626:IVJ196631 JFF196626:JFF196631 JPB196626:JPB196631 JYX196626:JYX196631 KIT196626:KIT196631 KSP196626:KSP196631 LCL196626:LCL196631 LMH196626:LMH196631 LWD196626:LWD196631 MFZ196626:MFZ196631 MPV196626:MPV196631 MZR196626:MZR196631 NJN196626:NJN196631 NTJ196626:NTJ196631 ODF196626:ODF196631 ONB196626:ONB196631 OWX196626:OWX196631 PGT196626:PGT196631 PQP196626:PQP196631 QAL196626:QAL196631 QKH196626:QKH196631 QUD196626:QUD196631 RDZ196626:RDZ196631 RNV196626:RNV196631 RXR196626:RXR196631 SHN196626:SHN196631 SRJ196626:SRJ196631 TBF196626:TBF196631 TLB196626:TLB196631 TUX196626:TUX196631 UET196626:UET196631 UOP196626:UOP196631 UYL196626:UYL196631 VIH196626:VIH196631 VSD196626:VSD196631 WBZ196626:WBZ196631 WLV196626:WLV196631 WVR196626:WVR196631 J262162:J262167 JF262162:JF262167 TB262162:TB262167 ACX262162:ACX262167 AMT262162:AMT262167 AWP262162:AWP262167 BGL262162:BGL262167 BQH262162:BQH262167 CAD262162:CAD262167 CJZ262162:CJZ262167 CTV262162:CTV262167 DDR262162:DDR262167 DNN262162:DNN262167 DXJ262162:DXJ262167 EHF262162:EHF262167 ERB262162:ERB262167 FAX262162:FAX262167 FKT262162:FKT262167 FUP262162:FUP262167 GEL262162:GEL262167 GOH262162:GOH262167 GYD262162:GYD262167 HHZ262162:HHZ262167 HRV262162:HRV262167 IBR262162:IBR262167 ILN262162:ILN262167 IVJ262162:IVJ262167 JFF262162:JFF262167 JPB262162:JPB262167 JYX262162:JYX262167 KIT262162:KIT262167 KSP262162:KSP262167 LCL262162:LCL262167 LMH262162:LMH262167 LWD262162:LWD262167 MFZ262162:MFZ262167 MPV262162:MPV262167 MZR262162:MZR262167 NJN262162:NJN262167 NTJ262162:NTJ262167 ODF262162:ODF262167 ONB262162:ONB262167 OWX262162:OWX262167 PGT262162:PGT262167 PQP262162:PQP262167 QAL262162:QAL262167 QKH262162:QKH262167 QUD262162:QUD262167 RDZ262162:RDZ262167 RNV262162:RNV262167 RXR262162:RXR262167 SHN262162:SHN262167 SRJ262162:SRJ262167 TBF262162:TBF262167 TLB262162:TLB262167 TUX262162:TUX262167 UET262162:UET262167 UOP262162:UOP262167 UYL262162:UYL262167 VIH262162:VIH262167 VSD262162:VSD262167 WBZ262162:WBZ262167 WLV262162:WLV262167 WVR262162:WVR262167 J327698:J327703 JF327698:JF327703 TB327698:TB327703 ACX327698:ACX327703 AMT327698:AMT327703 AWP327698:AWP327703 BGL327698:BGL327703 BQH327698:BQH327703 CAD327698:CAD327703 CJZ327698:CJZ327703 CTV327698:CTV327703 DDR327698:DDR327703 DNN327698:DNN327703 DXJ327698:DXJ327703 EHF327698:EHF327703 ERB327698:ERB327703 FAX327698:FAX327703 FKT327698:FKT327703 FUP327698:FUP327703 GEL327698:GEL327703 GOH327698:GOH327703 GYD327698:GYD327703 HHZ327698:HHZ327703 HRV327698:HRV327703 IBR327698:IBR327703 ILN327698:ILN327703 IVJ327698:IVJ327703 JFF327698:JFF327703 JPB327698:JPB327703 JYX327698:JYX327703 KIT327698:KIT327703 KSP327698:KSP327703 LCL327698:LCL327703 LMH327698:LMH327703 LWD327698:LWD327703 MFZ327698:MFZ327703 MPV327698:MPV327703 MZR327698:MZR327703 NJN327698:NJN327703 NTJ327698:NTJ327703 ODF327698:ODF327703 ONB327698:ONB327703 OWX327698:OWX327703 PGT327698:PGT327703 PQP327698:PQP327703 QAL327698:QAL327703 QKH327698:QKH327703 QUD327698:QUD327703 RDZ327698:RDZ327703 RNV327698:RNV327703 RXR327698:RXR327703 SHN327698:SHN327703 SRJ327698:SRJ327703 TBF327698:TBF327703 TLB327698:TLB327703 TUX327698:TUX327703 UET327698:UET327703 UOP327698:UOP327703 UYL327698:UYL327703 VIH327698:VIH327703 VSD327698:VSD327703 WBZ327698:WBZ327703 WLV327698:WLV327703 WVR327698:WVR327703 J393234:J393239 JF393234:JF393239 TB393234:TB393239 ACX393234:ACX393239 AMT393234:AMT393239 AWP393234:AWP393239 BGL393234:BGL393239 BQH393234:BQH393239 CAD393234:CAD393239 CJZ393234:CJZ393239 CTV393234:CTV393239 DDR393234:DDR393239 DNN393234:DNN393239 DXJ393234:DXJ393239 EHF393234:EHF393239 ERB393234:ERB393239 FAX393234:FAX393239 FKT393234:FKT393239 FUP393234:FUP393239 GEL393234:GEL393239 GOH393234:GOH393239 GYD393234:GYD393239 HHZ393234:HHZ393239 HRV393234:HRV393239 IBR393234:IBR393239 ILN393234:ILN393239 IVJ393234:IVJ393239 JFF393234:JFF393239 JPB393234:JPB393239 JYX393234:JYX393239 KIT393234:KIT393239 KSP393234:KSP393239 LCL393234:LCL393239 LMH393234:LMH393239 LWD393234:LWD393239 MFZ393234:MFZ393239 MPV393234:MPV393239 MZR393234:MZR393239 NJN393234:NJN393239 NTJ393234:NTJ393239 ODF393234:ODF393239 ONB393234:ONB393239 OWX393234:OWX393239 PGT393234:PGT393239 PQP393234:PQP393239 QAL393234:QAL393239 QKH393234:QKH393239 QUD393234:QUD393239 RDZ393234:RDZ393239 RNV393234:RNV393239 RXR393234:RXR393239 SHN393234:SHN393239 SRJ393234:SRJ393239 TBF393234:TBF393239 TLB393234:TLB393239 TUX393234:TUX393239 UET393234:UET393239 UOP393234:UOP393239 UYL393234:UYL393239 VIH393234:VIH393239 VSD393234:VSD393239 WBZ393234:WBZ393239 WLV393234:WLV393239 WVR393234:WVR393239 J458770:J458775 JF458770:JF458775 TB458770:TB458775 ACX458770:ACX458775 AMT458770:AMT458775 AWP458770:AWP458775 BGL458770:BGL458775 BQH458770:BQH458775 CAD458770:CAD458775 CJZ458770:CJZ458775 CTV458770:CTV458775 DDR458770:DDR458775 DNN458770:DNN458775 DXJ458770:DXJ458775 EHF458770:EHF458775 ERB458770:ERB458775 FAX458770:FAX458775 FKT458770:FKT458775 FUP458770:FUP458775 GEL458770:GEL458775 GOH458770:GOH458775 GYD458770:GYD458775 HHZ458770:HHZ458775 HRV458770:HRV458775 IBR458770:IBR458775 ILN458770:ILN458775 IVJ458770:IVJ458775 JFF458770:JFF458775 JPB458770:JPB458775 JYX458770:JYX458775 KIT458770:KIT458775 KSP458770:KSP458775 LCL458770:LCL458775 LMH458770:LMH458775 LWD458770:LWD458775 MFZ458770:MFZ458775 MPV458770:MPV458775 MZR458770:MZR458775 NJN458770:NJN458775 NTJ458770:NTJ458775 ODF458770:ODF458775 ONB458770:ONB458775 OWX458770:OWX458775 PGT458770:PGT458775 PQP458770:PQP458775 QAL458770:QAL458775 QKH458770:QKH458775 QUD458770:QUD458775 RDZ458770:RDZ458775 RNV458770:RNV458775 RXR458770:RXR458775 SHN458770:SHN458775 SRJ458770:SRJ458775 TBF458770:TBF458775 TLB458770:TLB458775 TUX458770:TUX458775 UET458770:UET458775 UOP458770:UOP458775 UYL458770:UYL458775 VIH458770:VIH458775 VSD458770:VSD458775 WBZ458770:WBZ458775 WLV458770:WLV458775 WVR458770:WVR458775 J524306:J524311 JF524306:JF524311 TB524306:TB524311 ACX524306:ACX524311 AMT524306:AMT524311 AWP524306:AWP524311 BGL524306:BGL524311 BQH524306:BQH524311 CAD524306:CAD524311 CJZ524306:CJZ524311 CTV524306:CTV524311 DDR524306:DDR524311 DNN524306:DNN524311 DXJ524306:DXJ524311 EHF524306:EHF524311 ERB524306:ERB524311 FAX524306:FAX524311 FKT524306:FKT524311 FUP524306:FUP524311 GEL524306:GEL524311 GOH524306:GOH524311 GYD524306:GYD524311 HHZ524306:HHZ524311 HRV524306:HRV524311 IBR524306:IBR524311 ILN524306:ILN524311 IVJ524306:IVJ524311 JFF524306:JFF524311 JPB524306:JPB524311 JYX524306:JYX524311 KIT524306:KIT524311 KSP524306:KSP524311 LCL524306:LCL524311 LMH524306:LMH524311 LWD524306:LWD524311 MFZ524306:MFZ524311 MPV524306:MPV524311 MZR524306:MZR524311 NJN524306:NJN524311 NTJ524306:NTJ524311 ODF524306:ODF524311 ONB524306:ONB524311 OWX524306:OWX524311 PGT524306:PGT524311 PQP524306:PQP524311 QAL524306:QAL524311 QKH524306:QKH524311 QUD524306:QUD524311 RDZ524306:RDZ524311 RNV524306:RNV524311 RXR524306:RXR524311 SHN524306:SHN524311 SRJ524306:SRJ524311 TBF524306:TBF524311 TLB524306:TLB524311 TUX524306:TUX524311 UET524306:UET524311 UOP524306:UOP524311 UYL524306:UYL524311 VIH524306:VIH524311 VSD524306:VSD524311 WBZ524306:WBZ524311 WLV524306:WLV524311 WVR524306:WVR524311 J589842:J589847 JF589842:JF589847 TB589842:TB589847 ACX589842:ACX589847 AMT589842:AMT589847 AWP589842:AWP589847 BGL589842:BGL589847 BQH589842:BQH589847 CAD589842:CAD589847 CJZ589842:CJZ589847 CTV589842:CTV589847 DDR589842:DDR589847 DNN589842:DNN589847 DXJ589842:DXJ589847 EHF589842:EHF589847 ERB589842:ERB589847 FAX589842:FAX589847 FKT589842:FKT589847 FUP589842:FUP589847 GEL589842:GEL589847 GOH589842:GOH589847 GYD589842:GYD589847 HHZ589842:HHZ589847 HRV589842:HRV589847 IBR589842:IBR589847 ILN589842:ILN589847 IVJ589842:IVJ589847 JFF589842:JFF589847 JPB589842:JPB589847 JYX589842:JYX589847 KIT589842:KIT589847 KSP589842:KSP589847 LCL589842:LCL589847 LMH589842:LMH589847 LWD589842:LWD589847 MFZ589842:MFZ589847 MPV589842:MPV589847 MZR589842:MZR589847 NJN589842:NJN589847 NTJ589842:NTJ589847 ODF589842:ODF589847 ONB589842:ONB589847 OWX589842:OWX589847 PGT589842:PGT589847 PQP589842:PQP589847 QAL589842:QAL589847 QKH589842:QKH589847 QUD589842:QUD589847 RDZ589842:RDZ589847 RNV589842:RNV589847 RXR589842:RXR589847 SHN589842:SHN589847 SRJ589842:SRJ589847 TBF589842:TBF589847 TLB589842:TLB589847 TUX589842:TUX589847 UET589842:UET589847 UOP589842:UOP589847 UYL589842:UYL589847 VIH589842:VIH589847 VSD589842:VSD589847 WBZ589842:WBZ589847 WLV589842:WLV589847 WVR589842:WVR589847 J655378:J655383 JF655378:JF655383 TB655378:TB655383 ACX655378:ACX655383 AMT655378:AMT655383 AWP655378:AWP655383 BGL655378:BGL655383 BQH655378:BQH655383 CAD655378:CAD655383 CJZ655378:CJZ655383 CTV655378:CTV655383 DDR655378:DDR655383 DNN655378:DNN655383 DXJ655378:DXJ655383 EHF655378:EHF655383 ERB655378:ERB655383 FAX655378:FAX655383 FKT655378:FKT655383 FUP655378:FUP655383 GEL655378:GEL655383 GOH655378:GOH655383 GYD655378:GYD655383 HHZ655378:HHZ655383 HRV655378:HRV655383 IBR655378:IBR655383 ILN655378:ILN655383 IVJ655378:IVJ655383 JFF655378:JFF655383 JPB655378:JPB655383 JYX655378:JYX655383 KIT655378:KIT655383 KSP655378:KSP655383 LCL655378:LCL655383 LMH655378:LMH655383 LWD655378:LWD655383 MFZ655378:MFZ655383 MPV655378:MPV655383 MZR655378:MZR655383 NJN655378:NJN655383 NTJ655378:NTJ655383 ODF655378:ODF655383 ONB655378:ONB655383 OWX655378:OWX655383 PGT655378:PGT655383 PQP655378:PQP655383 QAL655378:QAL655383 QKH655378:QKH655383 QUD655378:QUD655383 RDZ655378:RDZ655383 RNV655378:RNV655383 RXR655378:RXR655383 SHN655378:SHN655383 SRJ655378:SRJ655383 TBF655378:TBF655383 TLB655378:TLB655383 TUX655378:TUX655383 UET655378:UET655383 UOP655378:UOP655383 UYL655378:UYL655383 VIH655378:VIH655383 VSD655378:VSD655383 WBZ655378:WBZ655383 WLV655378:WLV655383 WVR655378:WVR655383 J720914:J720919 JF720914:JF720919 TB720914:TB720919 ACX720914:ACX720919 AMT720914:AMT720919 AWP720914:AWP720919 BGL720914:BGL720919 BQH720914:BQH720919 CAD720914:CAD720919 CJZ720914:CJZ720919 CTV720914:CTV720919 DDR720914:DDR720919 DNN720914:DNN720919 DXJ720914:DXJ720919 EHF720914:EHF720919 ERB720914:ERB720919 FAX720914:FAX720919 FKT720914:FKT720919 FUP720914:FUP720919 GEL720914:GEL720919 GOH720914:GOH720919 GYD720914:GYD720919 HHZ720914:HHZ720919 HRV720914:HRV720919 IBR720914:IBR720919 ILN720914:ILN720919 IVJ720914:IVJ720919 JFF720914:JFF720919 JPB720914:JPB720919 JYX720914:JYX720919 KIT720914:KIT720919 KSP720914:KSP720919 LCL720914:LCL720919 LMH720914:LMH720919 LWD720914:LWD720919 MFZ720914:MFZ720919 MPV720914:MPV720919 MZR720914:MZR720919 NJN720914:NJN720919 NTJ720914:NTJ720919 ODF720914:ODF720919 ONB720914:ONB720919 OWX720914:OWX720919 PGT720914:PGT720919 PQP720914:PQP720919 QAL720914:QAL720919 QKH720914:QKH720919 QUD720914:QUD720919 RDZ720914:RDZ720919 RNV720914:RNV720919 RXR720914:RXR720919 SHN720914:SHN720919 SRJ720914:SRJ720919 TBF720914:TBF720919 TLB720914:TLB720919 TUX720914:TUX720919 UET720914:UET720919 UOP720914:UOP720919 UYL720914:UYL720919 VIH720914:VIH720919 VSD720914:VSD720919 WBZ720914:WBZ720919 WLV720914:WLV720919 WVR720914:WVR720919 J786450:J786455 JF786450:JF786455 TB786450:TB786455 ACX786450:ACX786455 AMT786450:AMT786455 AWP786450:AWP786455 BGL786450:BGL786455 BQH786450:BQH786455 CAD786450:CAD786455 CJZ786450:CJZ786455 CTV786450:CTV786455 DDR786450:DDR786455 DNN786450:DNN786455 DXJ786450:DXJ786455 EHF786450:EHF786455 ERB786450:ERB786455 FAX786450:FAX786455 FKT786450:FKT786455 FUP786450:FUP786455 GEL786450:GEL786455 GOH786450:GOH786455 GYD786450:GYD786455 HHZ786450:HHZ786455 HRV786450:HRV786455 IBR786450:IBR786455 ILN786450:ILN786455 IVJ786450:IVJ786455 JFF786450:JFF786455 JPB786450:JPB786455 JYX786450:JYX786455 KIT786450:KIT786455 KSP786450:KSP786455 LCL786450:LCL786455 LMH786450:LMH786455 LWD786450:LWD786455 MFZ786450:MFZ786455 MPV786450:MPV786455 MZR786450:MZR786455 NJN786450:NJN786455 NTJ786450:NTJ786455 ODF786450:ODF786455 ONB786450:ONB786455 OWX786450:OWX786455 PGT786450:PGT786455 PQP786450:PQP786455 QAL786450:QAL786455 QKH786450:QKH786455 QUD786450:QUD786455 RDZ786450:RDZ786455 RNV786450:RNV786455 RXR786450:RXR786455 SHN786450:SHN786455 SRJ786450:SRJ786455 TBF786450:TBF786455 TLB786450:TLB786455 TUX786450:TUX786455 UET786450:UET786455 UOP786450:UOP786455 UYL786450:UYL786455 VIH786450:VIH786455 VSD786450:VSD786455 WBZ786450:WBZ786455 WLV786450:WLV786455 WVR786450:WVR786455 J851986:J851991 JF851986:JF851991 TB851986:TB851991 ACX851986:ACX851991 AMT851986:AMT851991 AWP851986:AWP851991 BGL851986:BGL851991 BQH851986:BQH851991 CAD851986:CAD851991 CJZ851986:CJZ851991 CTV851986:CTV851991 DDR851986:DDR851991 DNN851986:DNN851991 DXJ851986:DXJ851991 EHF851986:EHF851991 ERB851986:ERB851991 FAX851986:FAX851991 FKT851986:FKT851991 FUP851986:FUP851991 GEL851986:GEL851991 GOH851986:GOH851991 GYD851986:GYD851991 HHZ851986:HHZ851991 HRV851986:HRV851991 IBR851986:IBR851991 ILN851986:ILN851991 IVJ851986:IVJ851991 JFF851986:JFF851991 JPB851986:JPB851991 JYX851986:JYX851991 KIT851986:KIT851991 KSP851986:KSP851991 LCL851986:LCL851991 LMH851986:LMH851991 LWD851986:LWD851991 MFZ851986:MFZ851991 MPV851986:MPV851991 MZR851986:MZR851991 NJN851986:NJN851991 NTJ851986:NTJ851991 ODF851986:ODF851991 ONB851986:ONB851991 OWX851986:OWX851991 PGT851986:PGT851991 PQP851986:PQP851991 QAL851986:QAL851991 QKH851986:QKH851991 QUD851986:QUD851991 RDZ851986:RDZ851991 RNV851986:RNV851991 RXR851986:RXR851991 SHN851986:SHN851991 SRJ851986:SRJ851991 TBF851986:TBF851991 TLB851986:TLB851991 TUX851986:TUX851991 UET851986:UET851991 UOP851986:UOP851991 UYL851986:UYL851991 VIH851986:VIH851991 VSD851986:VSD851991 WBZ851986:WBZ851991 WLV851986:WLV851991 WVR851986:WVR851991 J917522:J917527 JF917522:JF917527 TB917522:TB917527 ACX917522:ACX917527 AMT917522:AMT917527 AWP917522:AWP917527 BGL917522:BGL917527 BQH917522:BQH917527 CAD917522:CAD917527 CJZ917522:CJZ917527 CTV917522:CTV917527 DDR917522:DDR917527 DNN917522:DNN917527 DXJ917522:DXJ917527 EHF917522:EHF917527 ERB917522:ERB917527 FAX917522:FAX917527 FKT917522:FKT917527 FUP917522:FUP917527 GEL917522:GEL917527 GOH917522:GOH917527 GYD917522:GYD917527 HHZ917522:HHZ917527 HRV917522:HRV917527 IBR917522:IBR917527 ILN917522:ILN917527 IVJ917522:IVJ917527 JFF917522:JFF917527 JPB917522:JPB917527 JYX917522:JYX917527 KIT917522:KIT917527 KSP917522:KSP917527 LCL917522:LCL917527 LMH917522:LMH917527 LWD917522:LWD917527 MFZ917522:MFZ917527 MPV917522:MPV917527 MZR917522:MZR917527 NJN917522:NJN917527 NTJ917522:NTJ917527 ODF917522:ODF917527 ONB917522:ONB917527 OWX917522:OWX917527 PGT917522:PGT917527 PQP917522:PQP917527 QAL917522:QAL917527 QKH917522:QKH917527 QUD917522:QUD917527 RDZ917522:RDZ917527 RNV917522:RNV917527 RXR917522:RXR917527 SHN917522:SHN917527 SRJ917522:SRJ917527 TBF917522:TBF917527 TLB917522:TLB917527 TUX917522:TUX917527 UET917522:UET917527 UOP917522:UOP917527 UYL917522:UYL917527 VIH917522:VIH917527 VSD917522:VSD917527 WBZ917522:WBZ917527 WLV917522:WLV917527 WVR917522:WVR917527 J983058:J983063 JF983058:JF983063 TB983058:TB983063 ACX983058:ACX983063 AMT983058:AMT983063 AWP983058:AWP983063 BGL983058:BGL983063 BQH983058:BQH983063 CAD983058:CAD983063 CJZ983058:CJZ983063 CTV983058:CTV983063 DDR983058:DDR983063 DNN983058:DNN983063 DXJ983058:DXJ983063 EHF983058:EHF983063 ERB983058:ERB983063 FAX983058:FAX983063 FKT983058:FKT983063 FUP983058:FUP983063 GEL983058:GEL983063 GOH983058:GOH983063 GYD983058:GYD983063 HHZ983058:HHZ983063 HRV983058:HRV983063 IBR983058:IBR983063 ILN983058:ILN983063 IVJ983058:IVJ983063 JFF983058:JFF983063 JPB983058:JPB983063 JYX983058:JYX983063 KIT983058:KIT983063 KSP983058:KSP983063 LCL983058:LCL983063 LMH983058:LMH983063 LWD983058:LWD983063 MFZ983058:MFZ983063 MPV983058:MPV983063 MZR983058:MZR983063 NJN983058:NJN983063 NTJ983058:NTJ983063 ODF983058:ODF983063 ONB983058:ONB983063 OWX983058:OWX983063 PGT983058:PGT983063 PQP983058:PQP983063 QAL983058:QAL983063 QKH983058:QKH983063 QUD983058:QUD983063 RDZ983058:RDZ983063 RNV983058:RNV983063 RXR983058:RXR983063 SHN983058:SHN983063 SRJ983058:SRJ983063 TBF983058:TBF983063 TLB983058:TLB983063 TUX983058:TUX983063 UET983058:UET983063 UOP983058:UOP983063 UYL983058:UYL983063 VIH983058:VIH983063 VSD983058:VSD983063 WBZ983058:WBZ983063 WLV983058:WLV983063 WVR983058:WVR983063">
      <formula1>0</formula1>
      <formula2>1</formula2>
    </dataValidation>
    <dataValidation type="decimal" allowBlank="1" showErrorMessage="1" errorTitle="Erro de valores" error="Digite um valor maior do que 0." sqref="J24 JF24 TB24 ACX24 AMT24 AWP24 BGL24 BQH24 CAD24 CJZ24 CTV24 DDR24 DNN24 DXJ24 EHF24 ERB24 FAX24 FKT24 FUP24 GEL24 GOH24 GYD24 HHZ24 HRV24 IBR24 ILN24 IVJ24 JFF24 JPB24 JYX24 KIT24 KSP24 LCL24 LMH24 LWD24 MFZ24 MPV24 MZR24 NJN24 NTJ24 ODF24 ONB24 OWX24 PGT24 PQP24 QAL24 QKH24 QUD24 RDZ24 RNV24 RXR24 SHN24 SRJ24 TBF24 TLB24 TUX24 UET24 UOP24 UYL24 VIH24 VSD24 WBZ24 WLV24 WVR24 J65560 JF65560 TB65560 ACX65560 AMT65560 AWP65560 BGL65560 BQH65560 CAD65560 CJZ65560 CTV65560 DDR65560 DNN65560 DXJ65560 EHF65560 ERB65560 FAX65560 FKT65560 FUP65560 GEL65560 GOH65560 GYD65560 HHZ65560 HRV65560 IBR65560 ILN65560 IVJ65560 JFF65560 JPB65560 JYX65560 KIT65560 KSP65560 LCL65560 LMH65560 LWD65560 MFZ65560 MPV65560 MZR65560 NJN65560 NTJ65560 ODF65560 ONB65560 OWX65560 PGT65560 PQP65560 QAL65560 QKH65560 QUD65560 RDZ65560 RNV65560 RXR65560 SHN65560 SRJ65560 TBF65560 TLB65560 TUX65560 UET65560 UOP65560 UYL65560 VIH65560 VSD65560 WBZ65560 WLV65560 WVR65560 J131096 JF131096 TB131096 ACX131096 AMT131096 AWP131096 BGL131096 BQH131096 CAD131096 CJZ131096 CTV131096 DDR131096 DNN131096 DXJ131096 EHF131096 ERB131096 FAX131096 FKT131096 FUP131096 GEL131096 GOH131096 GYD131096 HHZ131096 HRV131096 IBR131096 ILN131096 IVJ131096 JFF131096 JPB131096 JYX131096 KIT131096 KSP131096 LCL131096 LMH131096 LWD131096 MFZ131096 MPV131096 MZR131096 NJN131096 NTJ131096 ODF131096 ONB131096 OWX131096 PGT131096 PQP131096 QAL131096 QKH131096 QUD131096 RDZ131096 RNV131096 RXR131096 SHN131096 SRJ131096 TBF131096 TLB131096 TUX131096 UET131096 UOP131096 UYL131096 VIH131096 VSD131096 WBZ131096 WLV131096 WVR131096 J196632 JF196632 TB196632 ACX196632 AMT196632 AWP196632 BGL196632 BQH196632 CAD196632 CJZ196632 CTV196632 DDR196632 DNN196632 DXJ196632 EHF196632 ERB196632 FAX196632 FKT196632 FUP196632 GEL196632 GOH196632 GYD196632 HHZ196632 HRV196632 IBR196632 ILN196632 IVJ196632 JFF196632 JPB196632 JYX196632 KIT196632 KSP196632 LCL196632 LMH196632 LWD196632 MFZ196632 MPV196632 MZR196632 NJN196632 NTJ196632 ODF196632 ONB196632 OWX196632 PGT196632 PQP196632 QAL196632 QKH196632 QUD196632 RDZ196632 RNV196632 RXR196632 SHN196632 SRJ196632 TBF196632 TLB196632 TUX196632 UET196632 UOP196632 UYL196632 VIH196632 VSD196632 WBZ196632 WLV196632 WVR196632 J262168 JF262168 TB262168 ACX262168 AMT262168 AWP262168 BGL262168 BQH262168 CAD262168 CJZ262168 CTV262168 DDR262168 DNN262168 DXJ262168 EHF262168 ERB262168 FAX262168 FKT262168 FUP262168 GEL262168 GOH262168 GYD262168 HHZ262168 HRV262168 IBR262168 ILN262168 IVJ262168 JFF262168 JPB262168 JYX262168 KIT262168 KSP262168 LCL262168 LMH262168 LWD262168 MFZ262168 MPV262168 MZR262168 NJN262168 NTJ262168 ODF262168 ONB262168 OWX262168 PGT262168 PQP262168 QAL262168 QKH262168 QUD262168 RDZ262168 RNV262168 RXR262168 SHN262168 SRJ262168 TBF262168 TLB262168 TUX262168 UET262168 UOP262168 UYL262168 VIH262168 VSD262168 WBZ262168 WLV262168 WVR262168 J327704 JF327704 TB327704 ACX327704 AMT327704 AWP327704 BGL327704 BQH327704 CAD327704 CJZ327704 CTV327704 DDR327704 DNN327704 DXJ327704 EHF327704 ERB327704 FAX327704 FKT327704 FUP327704 GEL327704 GOH327704 GYD327704 HHZ327704 HRV327704 IBR327704 ILN327704 IVJ327704 JFF327704 JPB327704 JYX327704 KIT327704 KSP327704 LCL327704 LMH327704 LWD327704 MFZ327704 MPV327704 MZR327704 NJN327704 NTJ327704 ODF327704 ONB327704 OWX327704 PGT327704 PQP327704 QAL327704 QKH327704 QUD327704 RDZ327704 RNV327704 RXR327704 SHN327704 SRJ327704 TBF327704 TLB327704 TUX327704 UET327704 UOP327704 UYL327704 VIH327704 VSD327704 WBZ327704 WLV327704 WVR327704 J393240 JF393240 TB393240 ACX393240 AMT393240 AWP393240 BGL393240 BQH393240 CAD393240 CJZ393240 CTV393240 DDR393240 DNN393240 DXJ393240 EHF393240 ERB393240 FAX393240 FKT393240 FUP393240 GEL393240 GOH393240 GYD393240 HHZ393240 HRV393240 IBR393240 ILN393240 IVJ393240 JFF393240 JPB393240 JYX393240 KIT393240 KSP393240 LCL393240 LMH393240 LWD393240 MFZ393240 MPV393240 MZR393240 NJN393240 NTJ393240 ODF393240 ONB393240 OWX393240 PGT393240 PQP393240 QAL393240 QKH393240 QUD393240 RDZ393240 RNV393240 RXR393240 SHN393240 SRJ393240 TBF393240 TLB393240 TUX393240 UET393240 UOP393240 UYL393240 VIH393240 VSD393240 WBZ393240 WLV393240 WVR393240 J458776 JF458776 TB458776 ACX458776 AMT458776 AWP458776 BGL458776 BQH458776 CAD458776 CJZ458776 CTV458776 DDR458776 DNN458776 DXJ458776 EHF458776 ERB458776 FAX458776 FKT458776 FUP458776 GEL458776 GOH458776 GYD458776 HHZ458776 HRV458776 IBR458776 ILN458776 IVJ458776 JFF458776 JPB458776 JYX458776 KIT458776 KSP458776 LCL458776 LMH458776 LWD458776 MFZ458776 MPV458776 MZR458776 NJN458776 NTJ458776 ODF458776 ONB458776 OWX458776 PGT458776 PQP458776 QAL458776 QKH458776 QUD458776 RDZ458776 RNV458776 RXR458776 SHN458776 SRJ458776 TBF458776 TLB458776 TUX458776 UET458776 UOP458776 UYL458776 VIH458776 VSD458776 WBZ458776 WLV458776 WVR458776 J524312 JF524312 TB524312 ACX524312 AMT524312 AWP524312 BGL524312 BQH524312 CAD524312 CJZ524312 CTV524312 DDR524312 DNN524312 DXJ524312 EHF524312 ERB524312 FAX524312 FKT524312 FUP524312 GEL524312 GOH524312 GYD524312 HHZ524312 HRV524312 IBR524312 ILN524312 IVJ524312 JFF524312 JPB524312 JYX524312 KIT524312 KSP524312 LCL524312 LMH524312 LWD524312 MFZ524312 MPV524312 MZR524312 NJN524312 NTJ524312 ODF524312 ONB524312 OWX524312 PGT524312 PQP524312 QAL524312 QKH524312 QUD524312 RDZ524312 RNV524312 RXR524312 SHN524312 SRJ524312 TBF524312 TLB524312 TUX524312 UET524312 UOP524312 UYL524312 VIH524312 VSD524312 WBZ524312 WLV524312 WVR524312 J589848 JF589848 TB589848 ACX589848 AMT589848 AWP589848 BGL589848 BQH589848 CAD589848 CJZ589848 CTV589848 DDR589848 DNN589848 DXJ589848 EHF589848 ERB589848 FAX589848 FKT589848 FUP589848 GEL589848 GOH589848 GYD589848 HHZ589848 HRV589848 IBR589848 ILN589848 IVJ589848 JFF589848 JPB589848 JYX589848 KIT589848 KSP589848 LCL589848 LMH589848 LWD589848 MFZ589848 MPV589848 MZR589848 NJN589848 NTJ589848 ODF589848 ONB589848 OWX589848 PGT589848 PQP589848 QAL589848 QKH589848 QUD589848 RDZ589848 RNV589848 RXR589848 SHN589848 SRJ589848 TBF589848 TLB589848 TUX589848 UET589848 UOP589848 UYL589848 VIH589848 VSD589848 WBZ589848 WLV589848 WVR589848 J655384 JF655384 TB655384 ACX655384 AMT655384 AWP655384 BGL655384 BQH655384 CAD655384 CJZ655384 CTV655384 DDR655384 DNN655384 DXJ655384 EHF655384 ERB655384 FAX655384 FKT655384 FUP655384 GEL655384 GOH655384 GYD655384 HHZ655384 HRV655384 IBR655384 ILN655384 IVJ655384 JFF655384 JPB655384 JYX655384 KIT655384 KSP655384 LCL655384 LMH655384 LWD655384 MFZ655384 MPV655384 MZR655384 NJN655384 NTJ655384 ODF655384 ONB655384 OWX655384 PGT655384 PQP655384 QAL655384 QKH655384 QUD655384 RDZ655384 RNV655384 RXR655384 SHN655384 SRJ655384 TBF655384 TLB655384 TUX655384 UET655384 UOP655384 UYL655384 VIH655384 VSD655384 WBZ655384 WLV655384 WVR655384 J720920 JF720920 TB720920 ACX720920 AMT720920 AWP720920 BGL720920 BQH720920 CAD720920 CJZ720920 CTV720920 DDR720920 DNN720920 DXJ720920 EHF720920 ERB720920 FAX720920 FKT720920 FUP720920 GEL720920 GOH720920 GYD720920 HHZ720920 HRV720920 IBR720920 ILN720920 IVJ720920 JFF720920 JPB720920 JYX720920 KIT720920 KSP720920 LCL720920 LMH720920 LWD720920 MFZ720920 MPV720920 MZR720920 NJN720920 NTJ720920 ODF720920 ONB720920 OWX720920 PGT720920 PQP720920 QAL720920 QKH720920 QUD720920 RDZ720920 RNV720920 RXR720920 SHN720920 SRJ720920 TBF720920 TLB720920 TUX720920 UET720920 UOP720920 UYL720920 VIH720920 VSD720920 WBZ720920 WLV720920 WVR720920 J786456 JF786456 TB786456 ACX786456 AMT786456 AWP786456 BGL786456 BQH786456 CAD786456 CJZ786456 CTV786456 DDR786456 DNN786456 DXJ786456 EHF786456 ERB786456 FAX786456 FKT786456 FUP786456 GEL786456 GOH786456 GYD786456 HHZ786456 HRV786456 IBR786456 ILN786456 IVJ786456 JFF786456 JPB786456 JYX786456 KIT786456 KSP786456 LCL786456 LMH786456 LWD786456 MFZ786456 MPV786456 MZR786456 NJN786456 NTJ786456 ODF786456 ONB786456 OWX786456 PGT786456 PQP786456 QAL786456 QKH786456 QUD786456 RDZ786456 RNV786456 RXR786456 SHN786456 SRJ786456 TBF786456 TLB786456 TUX786456 UET786456 UOP786456 UYL786456 VIH786456 VSD786456 WBZ786456 WLV786456 WVR786456 J851992 JF851992 TB851992 ACX851992 AMT851992 AWP851992 BGL851992 BQH851992 CAD851992 CJZ851992 CTV851992 DDR851992 DNN851992 DXJ851992 EHF851992 ERB851992 FAX851992 FKT851992 FUP851992 GEL851992 GOH851992 GYD851992 HHZ851992 HRV851992 IBR851992 ILN851992 IVJ851992 JFF851992 JPB851992 JYX851992 KIT851992 KSP851992 LCL851992 LMH851992 LWD851992 MFZ851992 MPV851992 MZR851992 NJN851992 NTJ851992 ODF851992 ONB851992 OWX851992 PGT851992 PQP851992 QAL851992 QKH851992 QUD851992 RDZ851992 RNV851992 RXR851992 SHN851992 SRJ851992 TBF851992 TLB851992 TUX851992 UET851992 UOP851992 UYL851992 VIH851992 VSD851992 WBZ851992 WLV851992 WVR851992 J917528 JF917528 TB917528 ACX917528 AMT917528 AWP917528 BGL917528 BQH917528 CAD917528 CJZ917528 CTV917528 DDR917528 DNN917528 DXJ917528 EHF917528 ERB917528 FAX917528 FKT917528 FUP917528 GEL917528 GOH917528 GYD917528 HHZ917528 HRV917528 IBR917528 ILN917528 IVJ917528 JFF917528 JPB917528 JYX917528 KIT917528 KSP917528 LCL917528 LMH917528 LWD917528 MFZ917528 MPV917528 MZR917528 NJN917528 NTJ917528 ODF917528 ONB917528 OWX917528 PGT917528 PQP917528 QAL917528 QKH917528 QUD917528 RDZ917528 RNV917528 RXR917528 SHN917528 SRJ917528 TBF917528 TLB917528 TUX917528 UET917528 UOP917528 UYL917528 VIH917528 VSD917528 WBZ917528 WLV917528 WVR917528 J983064 JF983064 TB983064 ACX983064 AMT983064 AWP983064 BGL983064 BQH983064 CAD983064 CJZ983064 CTV983064 DDR983064 DNN983064 DXJ983064 EHF983064 ERB983064 FAX983064 FKT983064 FUP983064 GEL983064 GOH983064 GYD983064 HHZ983064 HRV983064 IBR983064 ILN983064 IVJ983064 JFF983064 JPB983064 JYX983064 KIT983064 KSP983064 LCL983064 LMH983064 LWD983064 MFZ983064 MPV983064 MZR983064 NJN983064 NTJ983064 ODF983064 ONB983064 OWX983064 PGT983064 PQP983064 QAL983064 QKH983064 QUD983064 RDZ983064 RNV983064 RXR983064 SHN983064 SRJ983064 TBF983064 TLB983064 TUX983064 UET983064 UOP983064 UYL983064 VIH983064 VSD983064 WBZ983064 WLV983064 WVR983064">
      <formula1>0</formula1>
      <formula2>1</formula2>
    </dataValidation>
    <dataValidation operator="greaterThanOrEqual" allowBlank="1" showErrorMessage="1" errorTitle="Erro de valores" error="Digite um valor igual a 0% ou 2%." sqref="J25 JF25 TB25 ACX25 AMT25 AWP25 BGL25 BQH25 CAD25 CJZ25 CTV25 DDR25 DNN25 DXJ25 EHF25 ERB25 FAX25 FKT25 FUP25 GEL25 GOH25 GYD25 HHZ25 HRV25 IBR25 ILN25 IVJ25 JFF25 JPB25 JYX25 KIT25 KSP25 LCL25 LMH25 LWD25 MFZ25 MPV25 MZR25 NJN25 NTJ25 ODF25 ONB25 OWX25 PGT25 PQP25 QAL25 QKH25 QUD25 RDZ25 RNV25 RXR25 SHN25 SRJ25 TBF25 TLB25 TUX25 UET25 UOP25 UYL25 VIH25 VSD25 WBZ25 WLV25 WVR25 J65561 JF65561 TB65561 ACX65561 AMT65561 AWP65561 BGL65561 BQH65561 CAD65561 CJZ65561 CTV65561 DDR65561 DNN65561 DXJ65561 EHF65561 ERB65561 FAX65561 FKT65561 FUP65561 GEL65561 GOH65561 GYD65561 HHZ65561 HRV65561 IBR65561 ILN65561 IVJ65561 JFF65561 JPB65561 JYX65561 KIT65561 KSP65561 LCL65561 LMH65561 LWD65561 MFZ65561 MPV65561 MZR65561 NJN65561 NTJ65561 ODF65561 ONB65561 OWX65561 PGT65561 PQP65561 QAL65561 QKH65561 QUD65561 RDZ65561 RNV65561 RXR65561 SHN65561 SRJ65561 TBF65561 TLB65561 TUX65561 UET65561 UOP65561 UYL65561 VIH65561 VSD65561 WBZ65561 WLV65561 WVR65561 J131097 JF131097 TB131097 ACX131097 AMT131097 AWP131097 BGL131097 BQH131097 CAD131097 CJZ131097 CTV131097 DDR131097 DNN131097 DXJ131097 EHF131097 ERB131097 FAX131097 FKT131097 FUP131097 GEL131097 GOH131097 GYD131097 HHZ131097 HRV131097 IBR131097 ILN131097 IVJ131097 JFF131097 JPB131097 JYX131097 KIT131097 KSP131097 LCL131097 LMH131097 LWD131097 MFZ131097 MPV131097 MZR131097 NJN131097 NTJ131097 ODF131097 ONB131097 OWX131097 PGT131097 PQP131097 QAL131097 QKH131097 QUD131097 RDZ131097 RNV131097 RXR131097 SHN131097 SRJ131097 TBF131097 TLB131097 TUX131097 UET131097 UOP131097 UYL131097 VIH131097 VSD131097 WBZ131097 WLV131097 WVR131097 J196633 JF196633 TB196633 ACX196633 AMT196633 AWP196633 BGL196633 BQH196633 CAD196633 CJZ196633 CTV196633 DDR196633 DNN196633 DXJ196633 EHF196633 ERB196633 FAX196633 FKT196633 FUP196633 GEL196633 GOH196633 GYD196633 HHZ196633 HRV196633 IBR196633 ILN196633 IVJ196633 JFF196633 JPB196633 JYX196633 KIT196633 KSP196633 LCL196633 LMH196633 LWD196633 MFZ196633 MPV196633 MZR196633 NJN196633 NTJ196633 ODF196633 ONB196633 OWX196633 PGT196633 PQP196633 QAL196633 QKH196633 QUD196633 RDZ196633 RNV196633 RXR196633 SHN196633 SRJ196633 TBF196633 TLB196633 TUX196633 UET196633 UOP196633 UYL196633 VIH196633 VSD196633 WBZ196633 WLV196633 WVR196633 J262169 JF262169 TB262169 ACX262169 AMT262169 AWP262169 BGL262169 BQH262169 CAD262169 CJZ262169 CTV262169 DDR262169 DNN262169 DXJ262169 EHF262169 ERB262169 FAX262169 FKT262169 FUP262169 GEL262169 GOH262169 GYD262169 HHZ262169 HRV262169 IBR262169 ILN262169 IVJ262169 JFF262169 JPB262169 JYX262169 KIT262169 KSP262169 LCL262169 LMH262169 LWD262169 MFZ262169 MPV262169 MZR262169 NJN262169 NTJ262169 ODF262169 ONB262169 OWX262169 PGT262169 PQP262169 QAL262169 QKH262169 QUD262169 RDZ262169 RNV262169 RXR262169 SHN262169 SRJ262169 TBF262169 TLB262169 TUX262169 UET262169 UOP262169 UYL262169 VIH262169 VSD262169 WBZ262169 WLV262169 WVR262169 J327705 JF327705 TB327705 ACX327705 AMT327705 AWP327705 BGL327705 BQH327705 CAD327705 CJZ327705 CTV327705 DDR327705 DNN327705 DXJ327705 EHF327705 ERB327705 FAX327705 FKT327705 FUP327705 GEL327705 GOH327705 GYD327705 HHZ327705 HRV327705 IBR327705 ILN327705 IVJ327705 JFF327705 JPB327705 JYX327705 KIT327705 KSP327705 LCL327705 LMH327705 LWD327705 MFZ327705 MPV327705 MZR327705 NJN327705 NTJ327705 ODF327705 ONB327705 OWX327705 PGT327705 PQP327705 QAL327705 QKH327705 QUD327705 RDZ327705 RNV327705 RXR327705 SHN327705 SRJ327705 TBF327705 TLB327705 TUX327705 UET327705 UOP327705 UYL327705 VIH327705 VSD327705 WBZ327705 WLV327705 WVR327705 J393241 JF393241 TB393241 ACX393241 AMT393241 AWP393241 BGL393241 BQH393241 CAD393241 CJZ393241 CTV393241 DDR393241 DNN393241 DXJ393241 EHF393241 ERB393241 FAX393241 FKT393241 FUP393241 GEL393241 GOH393241 GYD393241 HHZ393241 HRV393241 IBR393241 ILN393241 IVJ393241 JFF393241 JPB393241 JYX393241 KIT393241 KSP393241 LCL393241 LMH393241 LWD393241 MFZ393241 MPV393241 MZR393241 NJN393241 NTJ393241 ODF393241 ONB393241 OWX393241 PGT393241 PQP393241 QAL393241 QKH393241 QUD393241 RDZ393241 RNV393241 RXR393241 SHN393241 SRJ393241 TBF393241 TLB393241 TUX393241 UET393241 UOP393241 UYL393241 VIH393241 VSD393241 WBZ393241 WLV393241 WVR393241 J458777 JF458777 TB458777 ACX458777 AMT458777 AWP458777 BGL458777 BQH458777 CAD458777 CJZ458777 CTV458777 DDR458777 DNN458777 DXJ458777 EHF458777 ERB458777 FAX458777 FKT458777 FUP458777 GEL458777 GOH458777 GYD458777 HHZ458777 HRV458777 IBR458777 ILN458777 IVJ458777 JFF458777 JPB458777 JYX458777 KIT458777 KSP458777 LCL458777 LMH458777 LWD458777 MFZ458777 MPV458777 MZR458777 NJN458777 NTJ458777 ODF458777 ONB458777 OWX458777 PGT458777 PQP458777 QAL458777 QKH458777 QUD458777 RDZ458777 RNV458777 RXR458777 SHN458777 SRJ458777 TBF458777 TLB458777 TUX458777 UET458777 UOP458777 UYL458777 VIH458777 VSD458777 WBZ458777 WLV458777 WVR458777 J524313 JF524313 TB524313 ACX524313 AMT524313 AWP524313 BGL524313 BQH524313 CAD524313 CJZ524313 CTV524313 DDR524313 DNN524313 DXJ524313 EHF524313 ERB524313 FAX524313 FKT524313 FUP524313 GEL524313 GOH524313 GYD524313 HHZ524313 HRV524313 IBR524313 ILN524313 IVJ524313 JFF524313 JPB524313 JYX524313 KIT524313 KSP524313 LCL524313 LMH524313 LWD524313 MFZ524313 MPV524313 MZR524313 NJN524313 NTJ524313 ODF524313 ONB524313 OWX524313 PGT524313 PQP524313 QAL524313 QKH524313 QUD524313 RDZ524313 RNV524313 RXR524313 SHN524313 SRJ524313 TBF524313 TLB524313 TUX524313 UET524313 UOP524313 UYL524313 VIH524313 VSD524313 WBZ524313 WLV524313 WVR524313 J589849 JF589849 TB589849 ACX589849 AMT589849 AWP589849 BGL589849 BQH589849 CAD589849 CJZ589849 CTV589849 DDR589849 DNN589849 DXJ589849 EHF589849 ERB589849 FAX589849 FKT589849 FUP589849 GEL589849 GOH589849 GYD589849 HHZ589849 HRV589849 IBR589849 ILN589849 IVJ589849 JFF589849 JPB589849 JYX589849 KIT589849 KSP589849 LCL589849 LMH589849 LWD589849 MFZ589849 MPV589849 MZR589849 NJN589849 NTJ589849 ODF589849 ONB589849 OWX589849 PGT589849 PQP589849 QAL589849 QKH589849 QUD589849 RDZ589849 RNV589849 RXR589849 SHN589849 SRJ589849 TBF589849 TLB589849 TUX589849 UET589849 UOP589849 UYL589849 VIH589849 VSD589849 WBZ589849 WLV589849 WVR589849 J655385 JF655385 TB655385 ACX655385 AMT655385 AWP655385 BGL655385 BQH655385 CAD655385 CJZ655385 CTV655385 DDR655385 DNN655385 DXJ655385 EHF655385 ERB655385 FAX655385 FKT655385 FUP655385 GEL655385 GOH655385 GYD655385 HHZ655385 HRV655385 IBR655385 ILN655385 IVJ655385 JFF655385 JPB655385 JYX655385 KIT655385 KSP655385 LCL655385 LMH655385 LWD655385 MFZ655385 MPV655385 MZR655385 NJN655385 NTJ655385 ODF655385 ONB655385 OWX655385 PGT655385 PQP655385 QAL655385 QKH655385 QUD655385 RDZ655385 RNV655385 RXR655385 SHN655385 SRJ655385 TBF655385 TLB655385 TUX655385 UET655385 UOP655385 UYL655385 VIH655385 VSD655385 WBZ655385 WLV655385 WVR655385 J720921 JF720921 TB720921 ACX720921 AMT720921 AWP720921 BGL720921 BQH720921 CAD720921 CJZ720921 CTV720921 DDR720921 DNN720921 DXJ720921 EHF720921 ERB720921 FAX720921 FKT720921 FUP720921 GEL720921 GOH720921 GYD720921 HHZ720921 HRV720921 IBR720921 ILN720921 IVJ720921 JFF720921 JPB720921 JYX720921 KIT720921 KSP720921 LCL720921 LMH720921 LWD720921 MFZ720921 MPV720921 MZR720921 NJN720921 NTJ720921 ODF720921 ONB720921 OWX720921 PGT720921 PQP720921 QAL720921 QKH720921 QUD720921 RDZ720921 RNV720921 RXR720921 SHN720921 SRJ720921 TBF720921 TLB720921 TUX720921 UET720921 UOP720921 UYL720921 VIH720921 VSD720921 WBZ720921 WLV720921 WVR720921 J786457 JF786457 TB786457 ACX786457 AMT786457 AWP786457 BGL786457 BQH786457 CAD786457 CJZ786457 CTV786457 DDR786457 DNN786457 DXJ786457 EHF786457 ERB786457 FAX786457 FKT786457 FUP786457 GEL786457 GOH786457 GYD786457 HHZ786457 HRV786457 IBR786457 ILN786457 IVJ786457 JFF786457 JPB786457 JYX786457 KIT786457 KSP786457 LCL786457 LMH786457 LWD786457 MFZ786457 MPV786457 MZR786457 NJN786457 NTJ786457 ODF786457 ONB786457 OWX786457 PGT786457 PQP786457 QAL786457 QKH786457 QUD786457 RDZ786457 RNV786457 RXR786457 SHN786457 SRJ786457 TBF786457 TLB786457 TUX786457 UET786457 UOP786457 UYL786457 VIH786457 VSD786457 WBZ786457 WLV786457 WVR786457 J851993 JF851993 TB851993 ACX851993 AMT851993 AWP851993 BGL851993 BQH851993 CAD851993 CJZ851993 CTV851993 DDR851993 DNN851993 DXJ851993 EHF851993 ERB851993 FAX851993 FKT851993 FUP851993 GEL851993 GOH851993 GYD851993 HHZ851993 HRV851993 IBR851993 ILN851993 IVJ851993 JFF851993 JPB851993 JYX851993 KIT851993 KSP851993 LCL851993 LMH851993 LWD851993 MFZ851993 MPV851993 MZR851993 NJN851993 NTJ851993 ODF851993 ONB851993 OWX851993 PGT851993 PQP851993 QAL851993 QKH851993 QUD851993 RDZ851993 RNV851993 RXR851993 SHN851993 SRJ851993 TBF851993 TLB851993 TUX851993 UET851993 UOP851993 UYL851993 VIH851993 VSD851993 WBZ851993 WLV851993 WVR851993 J917529 JF917529 TB917529 ACX917529 AMT917529 AWP917529 BGL917529 BQH917529 CAD917529 CJZ917529 CTV917529 DDR917529 DNN917529 DXJ917529 EHF917529 ERB917529 FAX917529 FKT917529 FUP917529 GEL917529 GOH917529 GYD917529 HHZ917529 HRV917529 IBR917529 ILN917529 IVJ917529 JFF917529 JPB917529 JYX917529 KIT917529 KSP917529 LCL917529 LMH917529 LWD917529 MFZ917529 MPV917529 MZR917529 NJN917529 NTJ917529 ODF917529 ONB917529 OWX917529 PGT917529 PQP917529 QAL917529 QKH917529 QUD917529 RDZ917529 RNV917529 RXR917529 SHN917529 SRJ917529 TBF917529 TLB917529 TUX917529 UET917529 UOP917529 UYL917529 VIH917529 VSD917529 WBZ917529 WLV917529 WVR917529 J983065 JF983065 TB983065 ACX983065 AMT983065 AWP983065 BGL983065 BQH983065 CAD983065 CJZ983065 CTV983065 DDR983065 DNN983065 DXJ983065 EHF983065 ERB983065 FAX983065 FKT983065 FUP983065 GEL983065 GOH983065 GYD983065 HHZ983065 HRV983065 IBR983065 ILN983065 IVJ983065 JFF983065 JPB983065 JYX983065 KIT983065 KSP983065 LCL983065 LMH983065 LWD983065 MFZ983065 MPV983065 MZR983065 NJN983065 NTJ983065 ODF983065 ONB983065 OWX983065 PGT983065 PQP983065 QAL983065 QKH983065 QUD983065 RDZ983065 RNV983065 RXR983065 SHN983065 SRJ983065 TBF983065 TLB983065 TUX983065 UET983065 UOP983065 UYL983065 VIH983065 VSD983065 WBZ983065 WLV983065 WVR983065">
      <formula1>0</formula1>
      <formula2>0</formula2>
    </dataValidation>
    <dataValidation type="decimal" operator="greaterThanOrEqual" allowBlank="1" showInputMessage="1" showErrorMessage="1" errorTitle="Valor não permitido" error="Digite um percentual entre 0% e 100%." promptTitle="Valores comuns:" prompt="Normalmente entre 2 e 5%." sqref="I10:J10 JE10:JF10 TA10:TB10 ACW10:ACX10 AMS10:AMT10 AWO10:AWP10 BGK10:BGL10 BQG10:BQH10 CAC10:CAD10 CJY10:CJZ10 CTU10:CTV10 DDQ10:DDR10 DNM10:DNN10 DXI10:DXJ10 EHE10:EHF10 ERA10:ERB10 FAW10:FAX10 FKS10:FKT10 FUO10:FUP10 GEK10:GEL10 GOG10:GOH10 GYC10:GYD10 HHY10:HHZ10 HRU10:HRV10 IBQ10:IBR10 ILM10:ILN10 IVI10:IVJ10 JFE10:JFF10 JPA10:JPB10 JYW10:JYX10 KIS10:KIT10 KSO10:KSP10 LCK10:LCL10 LMG10:LMH10 LWC10:LWD10 MFY10:MFZ10 MPU10:MPV10 MZQ10:MZR10 NJM10:NJN10 NTI10:NTJ10 ODE10:ODF10 ONA10:ONB10 OWW10:OWX10 PGS10:PGT10 PQO10:PQP10 QAK10:QAL10 QKG10:QKH10 QUC10:QUD10 RDY10:RDZ10 RNU10:RNV10 RXQ10:RXR10 SHM10:SHN10 SRI10:SRJ10 TBE10:TBF10 TLA10:TLB10 TUW10:TUX10 UES10:UET10 UOO10:UOP10 UYK10:UYL10 VIG10:VIH10 VSC10:VSD10 WBY10:WBZ10 WLU10:WLV10 WVQ10:WVR10 I65546:J65546 JE65546:JF65546 TA65546:TB65546 ACW65546:ACX65546 AMS65546:AMT65546 AWO65546:AWP65546 BGK65546:BGL65546 BQG65546:BQH65546 CAC65546:CAD65546 CJY65546:CJZ65546 CTU65546:CTV65546 DDQ65546:DDR65546 DNM65546:DNN65546 DXI65546:DXJ65546 EHE65546:EHF65546 ERA65546:ERB65546 FAW65546:FAX65546 FKS65546:FKT65546 FUO65546:FUP65546 GEK65546:GEL65546 GOG65546:GOH65546 GYC65546:GYD65546 HHY65546:HHZ65546 HRU65546:HRV65546 IBQ65546:IBR65546 ILM65546:ILN65546 IVI65546:IVJ65546 JFE65546:JFF65546 JPA65546:JPB65546 JYW65546:JYX65546 KIS65546:KIT65546 KSO65546:KSP65546 LCK65546:LCL65546 LMG65546:LMH65546 LWC65546:LWD65546 MFY65546:MFZ65546 MPU65546:MPV65546 MZQ65546:MZR65546 NJM65546:NJN65546 NTI65546:NTJ65546 ODE65546:ODF65546 ONA65546:ONB65546 OWW65546:OWX65546 PGS65546:PGT65546 PQO65546:PQP65546 QAK65546:QAL65546 QKG65546:QKH65546 QUC65546:QUD65546 RDY65546:RDZ65546 RNU65546:RNV65546 RXQ65546:RXR65546 SHM65546:SHN65546 SRI65546:SRJ65546 TBE65546:TBF65546 TLA65546:TLB65546 TUW65546:TUX65546 UES65546:UET65546 UOO65546:UOP65546 UYK65546:UYL65546 VIG65546:VIH65546 VSC65546:VSD65546 WBY65546:WBZ65546 WLU65546:WLV65546 WVQ65546:WVR65546 I131082:J131082 JE131082:JF131082 TA131082:TB131082 ACW131082:ACX131082 AMS131082:AMT131082 AWO131082:AWP131082 BGK131082:BGL131082 BQG131082:BQH131082 CAC131082:CAD131082 CJY131082:CJZ131082 CTU131082:CTV131082 DDQ131082:DDR131082 DNM131082:DNN131082 DXI131082:DXJ131082 EHE131082:EHF131082 ERA131082:ERB131082 FAW131082:FAX131082 FKS131082:FKT131082 FUO131082:FUP131082 GEK131082:GEL131082 GOG131082:GOH131082 GYC131082:GYD131082 HHY131082:HHZ131082 HRU131082:HRV131082 IBQ131082:IBR131082 ILM131082:ILN131082 IVI131082:IVJ131082 JFE131082:JFF131082 JPA131082:JPB131082 JYW131082:JYX131082 KIS131082:KIT131082 KSO131082:KSP131082 LCK131082:LCL131082 LMG131082:LMH131082 LWC131082:LWD131082 MFY131082:MFZ131082 MPU131082:MPV131082 MZQ131082:MZR131082 NJM131082:NJN131082 NTI131082:NTJ131082 ODE131082:ODF131082 ONA131082:ONB131082 OWW131082:OWX131082 PGS131082:PGT131082 PQO131082:PQP131082 QAK131082:QAL131082 QKG131082:QKH131082 QUC131082:QUD131082 RDY131082:RDZ131082 RNU131082:RNV131082 RXQ131082:RXR131082 SHM131082:SHN131082 SRI131082:SRJ131082 TBE131082:TBF131082 TLA131082:TLB131082 TUW131082:TUX131082 UES131082:UET131082 UOO131082:UOP131082 UYK131082:UYL131082 VIG131082:VIH131082 VSC131082:VSD131082 WBY131082:WBZ131082 WLU131082:WLV131082 WVQ131082:WVR131082 I196618:J196618 JE196618:JF196618 TA196618:TB196618 ACW196618:ACX196618 AMS196618:AMT196618 AWO196618:AWP196618 BGK196618:BGL196618 BQG196618:BQH196618 CAC196618:CAD196618 CJY196618:CJZ196618 CTU196618:CTV196618 DDQ196618:DDR196618 DNM196618:DNN196618 DXI196618:DXJ196618 EHE196618:EHF196618 ERA196618:ERB196618 FAW196618:FAX196618 FKS196618:FKT196618 FUO196618:FUP196618 GEK196618:GEL196618 GOG196618:GOH196618 GYC196618:GYD196618 HHY196618:HHZ196618 HRU196618:HRV196618 IBQ196618:IBR196618 ILM196618:ILN196618 IVI196618:IVJ196618 JFE196618:JFF196618 JPA196618:JPB196618 JYW196618:JYX196618 KIS196618:KIT196618 KSO196618:KSP196618 LCK196618:LCL196618 LMG196618:LMH196618 LWC196618:LWD196618 MFY196618:MFZ196618 MPU196618:MPV196618 MZQ196618:MZR196618 NJM196618:NJN196618 NTI196618:NTJ196618 ODE196618:ODF196618 ONA196618:ONB196618 OWW196618:OWX196618 PGS196618:PGT196618 PQO196618:PQP196618 QAK196618:QAL196618 QKG196618:QKH196618 QUC196618:QUD196618 RDY196618:RDZ196618 RNU196618:RNV196618 RXQ196618:RXR196618 SHM196618:SHN196618 SRI196618:SRJ196618 TBE196618:TBF196618 TLA196618:TLB196618 TUW196618:TUX196618 UES196618:UET196618 UOO196618:UOP196618 UYK196618:UYL196618 VIG196618:VIH196618 VSC196618:VSD196618 WBY196618:WBZ196618 WLU196618:WLV196618 WVQ196618:WVR196618 I262154:J262154 JE262154:JF262154 TA262154:TB262154 ACW262154:ACX262154 AMS262154:AMT262154 AWO262154:AWP262154 BGK262154:BGL262154 BQG262154:BQH262154 CAC262154:CAD262154 CJY262154:CJZ262154 CTU262154:CTV262154 DDQ262154:DDR262154 DNM262154:DNN262154 DXI262154:DXJ262154 EHE262154:EHF262154 ERA262154:ERB262154 FAW262154:FAX262154 FKS262154:FKT262154 FUO262154:FUP262154 GEK262154:GEL262154 GOG262154:GOH262154 GYC262154:GYD262154 HHY262154:HHZ262154 HRU262154:HRV262154 IBQ262154:IBR262154 ILM262154:ILN262154 IVI262154:IVJ262154 JFE262154:JFF262154 JPA262154:JPB262154 JYW262154:JYX262154 KIS262154:KIT262154 KSO262154:KSP262154 LCK262154:LCL262154 LMG262154:LMH262154 LWC262154:LWD262154 MFY262154:MFZ262154 MPU262154:MPV262154 MZQ262154:MZR262154 NJM262154:NJN262154 NTI262154:NTJ262154 ODE262154:ODF262154 ONA262154:ONB262154 OWW262154:OWX262154 PGS262154:PGT262154 PQO262154:PQP262154 QAK262154:QAL262154 QKG262154:QKH262154 QUC262154:QUD262154 RDY262154:RDZ262154 RNU262154:RNV262154 RXQ262154:RXR262154 SHM262154:SHN262154 SRI262154:SRJ262154 TBE262154:TBF262154 TLA262154:TLB262154 TUW262154:TUX262154 UES262154:UET262154 UOO262154:UOP262154 UYK262154:UYL262154 VIG262154:VIH262154 VSC262154:VSD262154 WBY262154:WBZ262154 WLU262154:WLV262154 WVQ262154:WVR262154 I327690:J327690 JE327690:JF327690 TA327690:TB327690 ACW327690:ACX327690 AMS327690:AMT327690 AWO327690:AWP327690 BGK327690:BGL327690 BQG327690:BQH327690 CAC327690:CAD327690 CJY327690:CJZ327690 CTU327690:CTV327690 DDQ327690:DDR327690 DNM327690:DNN327690 DXI327690:DXJ327690 EHE327690:EHF327690 ERA327690:ERB327690 FAW327690:FAX327690 FKS327690:FKT327690 FUO327690:FUP327690 GEK327690:GEL327690 GOG327690:GOH327690 GYC327690:GYD327690 HHY327690:HHZ327690 HRU327690:HRV327690 IBQ327690:IBR327690 ILM327690:ILN327690 IVI327690:IVJ327690 JFE327690:JFF327690 JPA327690:JPB327690 JYW327690:JYX327690 KIS327690:KIT327690 KSO327690:KSP327690 LCK327690:LCL327690 LMG327690:LMH327690 LWC327690:LWD327690 MFY327690:MFZ327690 MPU327690:MPV327690 MZQ327690:MZR327690 NJM327690:NJN327690 NTI327690:NTJ327690 ODE327690:ODF327690 ONA327690:ONB327690 OWW327690:OWX327690 PGS327690:PGT327690 PQO327690:PQP327690 QAK327690:QAL327690 QKG327690:QKH327690 QUC327690:QUD327690 RDY327690:RDZ327690 RNU327690:RNV327690 RXQ327690:RXR327690 SHM327690:SHN327690 SRI327690:SRJ327690 TBE327690:TBF327690 TLA327690:TLB327690 TUW327690:TUX327690 UES327690:UET327690 UOO327690:UOP327690 UYK327690:UYL327690 VIG327690:VIH327690 VSC327690:VSD327690 WBY327690:WBZ327690 WLU327690:WLV327690 WVQ327690:WVR327690 I393226:J393226 JE393226:JF393226 TA393226:TB393226 ACW393226:ACX393226 AMS393226:AMT393226 AWO393226:AWP393226 BGK393226:BGL393226 BQG393226:BQH393226 CAC393226:CAD393226 CJY393226:CJZ393226 CTU393226:CTV393226 DDQ393226:DDR393226 DNM393226:DNN393226 DXI393226:DXJ393226 EHE393226:EHF393226 ERA393226:ERB393226 FAW393226:FAX393226 FKS393226:FKT393226 FUO393226:FUP393226 GEK393226:GEL393226 GOG393226:GOH393226 GYC393226:GYD393226 HHY393226:HHZ393226 HRU393226:HRV393226 IBQ393226:IBR393226 ILM393226:ILN393226 IVI393226:IVJ393226 JFE393226:JFF393226 JPA393226:JPB393226 JYW393226:JYX393226 KIS393226:KIT393226 KSO393226:KSP393226 LCK393226:LCL393226 LMG393226:LMH393226 LWC393226:LWD393226 MFY393226:MFZ393226 MPU393226:MPV393226 MZQ393226:MZR393226 NJM393226:NJN393226 NTI393226:NTJ393226 ODE393226:ODF393226 ONA393226:ONB393226 OWW393226:OWX393226 PGS393226:PGT393226 PQO393226:PQP393226 QAK393226:QAL393226 QKG393226:QKH393226 QUC393226:QUD393226 RDY393226:RDZ393226 RNU393226:RNV393226 RXQ393226:RXR393226 SHM393226:SHN393226 SRI393226:SRJ393226 TBE393226:TBF393226 TLA393226:TLB393226 TUW393226:TUX393226 UES393226:UET393226 UOO393226:UOP393226 UYK393226:UYL393226 VIG393226:VIH393226 VSC393226:VSD393226 WBY393226:WBZ393226 WLU393226:WLV393226 WVQ393226:WVR393226 I458762:J458762 JE458762:JF458762 TA458762:TB458762 ACW458762:ACX458762 AMS458762:AMT458762 AWO458762:AWP458762 BGK458762:BGL458762 BQG458762:BQH458762 CAC458762:CAD458762 CJY458762:CJZ458762 CTU458762:CTV458762 DDQ458762:DDR458762 DNM458762:DNN458762 DXI458762:DXJ458762 EHE458762:EHF458762 ERA458762:ERB458762 FAW458762:FAX458762 FKS458762:FKT458762 FUO458762:FUP458762 GEK458762:GEL458762 GOG458762:GOH458762 GYC458762:GYD458762 HHY458762:HHZ458762 HRU458762:HRV458762 IBQ458762:IBR458762 ILM458762:ILN458762 IVI458762:IVJ458762 JFE458762:JFF458762 JPA458762:JPB458762 JYW458762:JYX458762 KIS458762:KIT458762 KSO458762:KSP458762 LCK458762:LCL458762 LMG458762:LMH458762 LWC458762:LWD458762 MFY458762:MFZ458762 MPU458762:MPV458762 MZQ458762:MZR458762 NJM458762:NJN458762 NTI458762:NTJ458762 ODE458762:ODF458762 ONA458762:ONB458762 OWW458762:OWX458762 PGS458762:PGT458762 PQO458762:PQP458762 QAK458762:QAL458762 QKG458762:QKH458762 QUC458762:QUD458762 RDY458762:RDZ458762 RNU458762:RNV458762 RXQ458762:RXR458762 SHM458762:SHN458762 SRI458762:SRJ458762 TBE458762:TBF458762 TLA458762:TLB458762 TUW458762:TUX458762 UES458762:UET458762 UOO458762:UOP458762 UYK458762:UYL458762 VIG458762:VIH458762 VSC458762:VSD458762 WBY458762:WBZ458762 WLU458762:WLV458762 WVQ458762:WVR458762 I524298:J524298 JE524298:JF524298 TA524298:TB524298 ACW524298:ACX524298 AMS524298:AMT524298 AWO524298:AWP524298 BGK524298:BGL524298 BQG524298:BQH524298 CAC524298:CAD524298 CJY524298:CJZ524298 CTU524298:CTV524298 DDQ524298:DDR524298 DNM524298:DNN524298 DXI524298:DXJ524298 EHE524298:EHF524298 ERA524298:ERB524298 FAW524298:FAX524298 FKS524298:FKT524298 FUO524298:FUP524298 GEK524298:GEL524298 GOG524298:GOH524298 GYC524298:GYD524298 HHY524298:HHZ524298 HRU524298:HRV524298 IBQ524298:IBR524298 ILM524298:ILN524298 IVI524298:IVJ524298 JFE524298:JFF524298 JPA524298:JPB524298 JYW524298:JYX524298 KIS524298:KIT524298 KSO524298:KSP524298 LCK524298:LCL524298 LMG524298:LMH524298 LWC524298:LWD524298 MFY524298:MFZ524298 MPU524298:MPV524298 MZQ524298:MZR524298 NJM524298:NJN524298 NTI524298:NTJ524298 ODE524298:ODF524298 ONA524298:ONB524298 OWW524298:OWX524298 PGS524298:PGT524298 PQO524298:PQP524298 QAK524298:QAL524298 QKG524298:QKH524298 QUC524298:QUD524298 RDY524298:RDZ524298 RNU524298:RNV524298 RXQ524298:RXR524298 SHM524298:SHN524298 SRI524298:SRJ524298 TBE524298:TBF524298 TLA524298:TLB524298 TUW524298:TUX524298 UES524298:UET524298 UOO524298:UOP524298 UYK524298:UYL524298 VIG524298:VIH524298 VSC524298:VSD524298 WBY524298:WBZ524298 WLU524298:WLV524298 WVQ524298:WVR524298 I589834:J589834 JE589834:JF589834 TA589834:TB589834 ACW589834:ACX589834 AMS589834:AMT589834 AWO589834:AWP589834 BGK589834:BGL589834 BQG589834:BQH589834 CAC589834:CAD589834 CJY589834:CJZ589834 CTU589834:CTV589834 DDQ589834:DDR589834 DNM589834:DNN589834 DXI589834:DXJ589834 EHE589834:EHF589834 ERA589834:ERB589834 FAW589834:FAX589834 FKS589834:FKT589834 FUO589834:FUP589834 GEK589834:GEL589834 GOG589834:GOH589834 GYC589834:GYD589834 HHY589834:HHZ589834 HRU589834:HRV589834 IBQ589834:IBR589834 ILM589834:ILN589834 IVI589834:IVJ589834 JFE589834:JFF589834 JPA589834:JPB589834 JYW589834:JYX589834 KIS589834:KIT589834 KSO589834:KSP589834 LCK589834:LCL589834 LMG589834:LMH589834 LWC589834:LWD589834 MFY589834:MFZ589834 MPU589834:MPV589834 MZQ589834:MZR589834 NJM589834:NJN589834 NTI589834:NTJ589834 ODE589834:ODF589834 ONA589834:ONB589834 OWW589834:OWX589834 PGS589834:PGT589834 PQO589834:PQP589834 QAK589834:QAL589834 QKG589834:QKH589834 QUC589834:QUD589834 RDY589834:RDZ589834 RNU589834:RNV589834 RXQ589834:RXR589834 SHM589834:SHN589834 SRI589834:SRJ589834 TBE589834:TBF589834 TLA589834:TLB589834 TUW589834:TUX589834 UES589834:UET589834 UOO589834:UOP589834 UYK589834:UYL589834 VIG589834:VIH589834 VSC589834:VSD589834 WBY589834:WBZ589834 WLU589834:WLV589834 WVQ589834:WVR589834 I655370:J655370 JE655370:JF655370 TA655370:TB655370 ACW655370:ACX655370 AMS655370:AMT655370 AWO655370:AWP655370 BGK655370:BGL655370 BQG655370:BQH655370 CAC655370:CAD655370 CJY655370:CJZ655370 CTU655370:CTV655370 DDQ655370:DDR655370 DNM655370:DNN655370 DXI655370:DXJ655370 EHE655370:EHF655370 ERA655370:ERB655370 FAW655370:FAX655370 FKS655370:FKT655370 FUO655370:FUP655370 GEK655370:GEL655370 GOG655370:GOH655370 GYC655370:GYD655370 HHY655370:HHZ655370 HRU655370:HRV655370 IBQ655370:IBR655370 ILM655370:ILN655370 IVI655370:IVJ655370 JFE655370:JFF655370 JPA655370:JPB655370 JYW655370:JYX655370 KIS655370:KIT655370 KSO655370:KSP655370 LCK655370:LCL655370 LMG655370:LMH655370 LWC655370:LWD655370 MFY655370:MFZ655370 MPU655370:MPV655370 MZQ655370:MZR655370 NJM655370:NJN655370 NTI655370:NTJ655370 ODE655370:ODF655370 ONA655370:ONB655370 OWW655370:OWX655370 PGS655370:PGT655370 PQO655370:PQP655370 QAK655370:QAL655370 QKG655370:QKH655370 QUC655370:QUD655370 RDY655370:RDZ655370 RNU655370:RNV655370 RXQ655370:RXR655370 SHM655370:SHN655370 SRI655370:SRJ655370 TBE655370:TBF655370 TLA655370:TLB655370 TUW655370:TUX655370 UES655370:UET655370 UOO655370:UOP655370 UYK655370:UYL655370 VIG655370:VIH655370 VSC655370:VSD655370 WBY655370:WBZ655370 WLU655370:WLV655370 WVQ655370:WVR655370 I720906:J720906 JE720906:JF720906 TA720906:TB720906 ACW720906:ACX720906 AMS720906:AMT720906 AWO720906:AWP720906 BGK720906:BGL720906 BQG720906:BQH720906 CAC720906:CAD720906 CJY720906:CJZ720906 CTU720906:CTV720906 DDQ720906:DDR720906 DNM720906:DNN720906 DXI720906:DXJ720906 EHE720906:EHF720906 ERA720906:ERB720906 FAW720906:FAX720906 FKS720906:FKT720906 FUO720906:FUP720906 GEK720906:GEL720906 GOG720906:GOH720906 GYC720906:GYD720906 HHY720906:HHZ720906 HRU720906:HRV720906 IBQ720906:IBR720906 ILM720906:ILN720906 IVI720906:IVJ720906 JFE720906:JFF720906 JPA720906:JPB720906 JYW720906:JYX720906 KIS720906:KIT720906 KSO720906:KSP720906 LCK720906:LCL720906 LMG720906:LMH720906 LWC720906:LWD720906 MFY720906:MFZ720906 MPU720906:MPV720906 MZQ720906:MZR720906 NJM720906:NJN720906 NTI720906:NTJ720906 ODE720906:ODF720906 ONA720906:ONB720906 OWW720906:OWX720906 PGS720906:PGT720906 PQO720906:PQP720906 QAK720906:QAL720906 QKG720906:QKH720906 QUC720906:QUD720906 RDY720906:RDZ720906 RNU720906:RNV720906 RXQ720906:RXR720906 SHM720906:SHN720906 SRI720906:SRJ720906 TBE720906:TBF720906 TLA720906:TLB720906 TUW720906:TUX720906 UES720906:UET720906 UOO720906:UOP720906 UYK720906:UYL720906 VIG720906:VIH720906 VSC720906:VSD720906 WBY720906:WBZ720906 WLU720906:WLV720906 WVQ720906:WVR720906 I786442:J786442 JE786442:JF786442 TA786442:TB786442 ACW786442:ACX786442 AMS786442:AMT786442 AWO786442:AWP786442 BGK786442:BGL786442 BQG786442:BQH786442 CAC786442:CAD786442 CJY786442:CJZ786442 CTU786442:CTV786442 DDQ786442:DDR786442 DNM786442:DNN786442 DXI786442:DXJ786442 EHE786442:EHF786442 ERA786442:ERB786442 FAW786442:FAX786442 FKS786442:FKT786442 FUO786442:FUP786442 GEK786442:GEL786442 GOG786442:GOH786442 GYC786442:GYD786442 HHY786442:HHZ786442 HRU786442:HRV786442 IBQ786442:IBR786442 ILM786442:ILN786442 IVI786442:IVJ786442 JFE786442:JFF786442 JPA786442:JPB786442 JYW786442:JYX786442 KIS786442:KIT786442 KSO786442:KSP786442 LCK786442:LCL786442 LMG786442:LMH786442 LWC786442:LWD786442 MFY786442:MFZ786442 MPU786442:MPV786442 MZQ786442:MZR786442 NJM786442:NJN786442 NTI786442:NTJ786442 ODE786442:ODF786442 ONA786442:ONB786442 OWW786442:OWX786442 PGS786442:PGT786442 PQO786442:PQP786442 QAK786442:QAL786442 QKG786442:QKH786442 QUC786442:QUD786442 RDY786442:RDZ786442 RNU786442:RNV786442 RXQ786442:RXR786442 SHM786442:SHN786442 SRI786442:SRJ786442 TBE786442:TBF786442 TLA786442:TLB786442 TUW786442:TUX786442 UES786442:UET786442 UOO786442:UOP786442 UYK786442:UYL786442 VIG786442:VIH786442 VSC786442:VSD786442 WBY786442:WBZ786442 WLU786442:WLV786442 WVQ786442:WVR786442 I851978:J851978 JE851978:JF851978 TA851978:TB851978 ACW851978:ACX851978 AMS851978:AMT851978 AWO851978:AWP851978 BGK851978:BGL851978 BQG851978:BQH851978 CAC851978:CAD851978 CJY851978:CJZ851978 CTU851978:CTV851978 DDQ851978:DDR851978 DNM851978:DNN851978 DXI851978:DXJ851978 EHE851978:EHF851978 ERA851978:ERB851978 FAW851978:FAX851978 FKS851978:FKT851978 FUO851978:FUP851978 GEK851978:GEL851978 GOG851978:GOH851978 GYC851978:GYD851978 HHY851978:HHZ851978 HRU851978:HRV851978 IBQ851978:IBR851978 ILM851978:ILN851978 IVI851978:IVJ851978 JFE851978:JFF851978 JPA851978:JPB851978 JYW851978:JYX851978 KIS851978:KIT851978 KSO851978:KSP851978 LCK851978:LCL851978 LMG851978:LMH851978 LWC851978:LWD851978 MFY851978:MFZ851978 MPU851978:MPV851978 MZQ851978:MZR851978 NJM851978:NJN851978 NTI851978:NTJ851978 ODE851978:ODF851978 ONA851978:ONB851978 OWW851978:OWX851978 PGS851978:PGT851978 PQO851978:PQP851978 QAK851978:QAL851978 QKG851978:QKH851978 QUC851978:QUD851978 RDY851978:RDZ851978 RNU851978:RNV851978 RXQ851978:RXR851978 SHM851978:SHN851978 SRI851978:SRJ851978 TBE851978:TBF851978 TLA851978:TLB851978 TUW851978:TUX851978 UES851978:UET851978 UOO851978:UOP851978 UYK851978:UYL851978 VIG851978:VIH851978 VSC851978:VSD851978 WBY851978:WBZ851978 WLU851978:WLV851978 WVQ851978:WVR851978 I917514:J917514 JE917514:JF917514 TA917514:TB917514 ACW917514:ACX917514 AMS917514:AMT917514 AWO917514:AWP917514 BGK917514:BGL917514 BQG917514:BQH917514 CAC917514:CAD917514 CJY917514:CJZ917514 CTU917514:CTV917514 DDQ917514:DDR917514 DNM917514:DNN917514 DXI917514:DXJ917514 EHE917514:EHF917514 ERA917514:ERB917514 FAW917514:FAX917514 FKS917514:FKT917514 FUO917514:FUP917514 GEK917514:GEL917514 GOG917514:GOH917514 GYC917514:GYD917514 HHY917514:HHZ917514 HRU917514:HRV917514 IBQ917514:IBR917514 ILM917514:ILN917514 IVI917514:IVJ917514 JFE917514:JFF917514 JPA917514:JPB917514 JYW917514:JYX917514 KIS917514:KIT917514 KSO917514:KSP917514 LCK917514:LCL917514 LMG917514:LMH917514 LWC917514:LWD917514 MFY917514:MFZ917514 MPU917514:MPV917514 MZQ917514:MZR917514 NJM917514:NJN917514 NTI917514:NTJ917514 ODE917514:ODF917514 ONA917514:ONB917514 OWW917514:OWX917514 PGS917514:PGT917514 PQO917514:PQP917514 QAK917514:QAL917514 QKG917514:QKH917514 QUC917514:QUD917514 RDY917514:RDZ917514 RNU917514:RNV917514 RXQ917514:RXR917514 SHM917514:SHN917514 SRI917514:SRJ917514 TBE917514:TBF917514 TLA917514:TLB917514 TUW917514:TUX917514 UES917514:UET917514 UOO917514:UOP917514 UYK917514:UYL917514 VIG917514:VIH917514 VSC917514:VSD917514 WBY917514:WBZ917514 WLU917514:WLV917514 WVQ917514:WVR917514 I983050:J983050 JE983050:JF983050 TA983050:TB983050 ACW983050:ACX983050 AMS983050:AMT983050 AWO983050:AWP983050 BGK983050:BGL983050 BQG983050:BQH983050 CAC983050:CAD983050 CJY983050:CJZ983050 CTU983050:CTV983050 DDQ983050:DDR983050 DNM983050:DNN983050 DXI983050:DXJ983050 EHE983050:EHF983050 ERA983050:ERB983050 FAW983050:FAX983050 FKS983050:FKT983050 FUO983050:FUP983050 GEK983050:GEL983050 GOG983050:GOH983050 GYC983050:GYD983050 HHY983050:HHZ983050 HRU983050:HRV983050 IBQ983050:IBR983050 ILM983050:ILN983050 IVI983050:IVJ983050 JFE983050:JFF983050 JPA983050:JPB983050 JYW983050:JYX983050 KIS983050:KIT983050 KSO983050:KSP983050 LCK983050:LCL983050 LMG983050:LMH983050 LWC983050:LWD983050 MFY983050:MFZ983050 MPU983050:MPV983050 MZQ983050:MZR983050 NJM983050:NJN983050 NTI983050:NTJ983050 ODE983050:ODF983050 ONA983050:ONB983050 OWW983050:OWX983050 PGS983050:PGT983050 PQO983050:PQP983050 QAK983050:QAL983050 QKG983050:QKH983050 QUC983050:QUD983050 RDY983050:RDZ983050 RNU983050:RNV983050 RXQ983050:RXR983050 SHM983050:SHN983050 SRI983050:SRJ983050 TBE983050:TBF983050 TLA983050:TLB983050 TUW983050:TUX983050 UES983050:UET983050 UOO983050:UOP983050 UYK983050:UYL983050 VIG983050:VIH983050 VSC983050:VSD983050 WBY983050:WBZ983050 WLU983050:WLV983050 WVQ983050:WVR983050">
      <formula1>0</formula1>
      <formula2>0</formula2>
    </dataValidation>
    <dataValidation type="decimal" allowBlank="1" showInputMessage="1" showErrorMessage="1" errorTitle="Valor não permitido" error="Digite um percentual entre 0% e 100%." promptTitle="Valores admissíveis:" prompt="Insira valores entre 0 e 100%." sqref="I9:J9 JE9:JF9 TA9:TB9 ACW9:ACX9 AMS9:AMT9 AWO9:AWP9 BGK9:BGL9 BQG9:BQH9 CAC9:CAD9 CJY9:CJZ9 CTU9:CTV9 DDQ9:DDR9 DNM9:DNN9 DXI9:DXJ9 EHE9:EHF9 ERA9:ERB9 FAW9:FAX9 FKS9:FKT9 FUO9:FUP9 GEK9:GEL9 GOG9:GOH9 GYC9:GYD9 HHY9:HHZ9 HRU9:HRV9 IBQ9:IBR9 ILM9:ILN9 IVI9:IVJ9 JFE9:JFF9 JPA9:JPB9 JYW9:JYX9 KIS9:KIT9 KSO9:KSP9 LCK9:LCL9 LMG9:LMH9 LWC9:LWD9 MFY9:MFZ9 MPU9:MPV9 MZQ9:MZR9 NJM9:NJN9 NTI9:NTJ9 ODE9:ODF9 ONA9:ONB9 OWW9:OWX9 PGS9:PGT9 PQO9:PQP9 QAK9:QAL9 QKG9:QKH9 QUC9:QUD9 RDY9:RDZ9 RNU9:RNV9 RXQ9:RXR9 SHM9:SHN9 SRI9:SRJ9 TBE9:TBF9 TLA9:TLB9 TUW9:TUX9 UES9:UET9 UOO9:UOP9 UYK9:UYL9 VIG9:VIH9 VSC9:VSD9 WBY9:WBZ9 WLU9:WLV9 WVQ9:WVR9 I65545:J65545 JE65545:JF65545 TA65545:TB65545 ACW65545:ACX65545 AMS65545:AMT65545 AWO65545:AWP65545 BGK65545:BGL65545 BQG65545:BQH65545 CAC65545:CAD65545 CJY65545:CJZ65545 CTU65545:CTV65545 DDQ65545:DDR65545 DNM65545:DNN65545 DXI65545:DXJ65545 EHE65545:EHF65545 ERA65545:ERB65545 FAW65545:FAX65545 FKS65545:FKT65545 FUO65545:FUP65545 GEK65545:GEL65545 GOG65545:GOH65545 GYC65545:GYD65545 HHY65545:HHZ65545 HRU65545:HRV65545 IBQ65545:IBR65545 ILM65545:ILN65545 IVI65545:IVJ65545 JFE65545:JFF65545 JPA65545:JPB65545 JYW65545:JYX65545 KIS65545:KIT65545 KSO65545:KSP65545 LCK65545:LCL65545 LMG65545:LMH65545 LWC65545:LWD65545 MFY65545:MFZ65545 MPU65545:MPV65545 MZQ65545:MZR65545 NJM65545:NJN65545 NTI65545:NTJ65545 ODE65545:ODF65545 ONA65545:ONB65545 OWW65545:OWX65545 PGS65545:PGT65545 PQO65545:PQP65545 QAK65545:QAL65545 QKG65545:QKH65545 QUC65545:QUD65545 RDY65545:RDZ65545 RNU65545:RNV65545 RXQ65545:RXR65545 SHM65545:SHN65545 SRI65545:SRJ65545 TBE65545:TBF65545 TLA65545:TLB65545 TUW65545:TUX65545 UES65545:UET65545 UOO65545:UOP65545 UYK65545:UYL65545 VIG65545:VIH65545 VSC65545:VSD65545 WBY65545:WBZ65545 WLU65545:WLV65545 WVQ65545:WVR65545 I131081:J131081 JE131081:JF131081 TA131081:TB131081 ACW131081:ACX131081 AMS131081:AMT131081 AWO131081:AWP131081 BGK131081:BGL131081 BQG131081:BQH131081 CAC131081:CAD131081 CJY131081:CJZ131081 CTU131081:CTV131081 DDQ131081:DDR131081 DNM131081:DNN131081 DXI131081:DXJ131081 EHE131081:EHF131081 ERA131081:ERB131081 FAW131081:FAX131081 FKS131081:FKT131081 FUO131081:FUP131081 GEK131081:GEL131081 GOG131081:GOH131081 GYC131081:GYD131081 HHY131081:HHZ131081 HRU131081:HRV131081 IBQ131081:IBR131081 ILM131081:ILN131081 IVI131081:IVJ131081 JFE131081:JFF131081 JPA131081:JPB131081 JYW131081:JYX131081 KIS131081:KIT131081 KSO131081:KSP131081 LCK131081:LCL131081 LMG131081:LMH131081 LWC131081:LWD131081 MFY131081:MFZ131081 MPU131081:MPV131081 MZQ131081:MZR131081 NJM131081:NJN131081 NTI131081:NTJ131081 ODE131081:ODF131081 ONA131081:ONB131081 OWW131081:OWX131081 PGS131081:PGT131081 PQO131081:PQP131081 QAK131081:QAL131081 QKG131081:QKH131081 QUC131081:QUD131081 RDY131081:RDZ131081 RNU131081:RNV131081 RXQ131081:RXR131081 SHM131081:SHN131081 SRI131081:SRJ131081 TBE131081:TBF131081 TLA131081:TLB131081 TUW131081:TUX131081 UES131081:UET131081 UOO131081:UOP131081 UYK131081:UYL131081 VIG131081:VIH131081 VSC131081:VSD131081 WBY131081:WBZ131081 WLU131081:WLV131081 WVQ131081:WVR131081 I196617:J196617 JE196617:JF196617 TA196617:TB196617 ACW196617:ACX196617 AMS196617:AMT196617 AWO196617:AWP196617 BGK196617:BGL196617 BQG196617:BQH196617 CAC196617:CAD196617 CJY196617:CJZ196617 CTU196617:CTV196617 DDQ196617:DDR196617 DNM196617:DNN196617 DXI196617:DXJ196617 EHE196617:EHF196617 ERA196617:ERB196617 FAW196617:FAX196617 FKS196617:FKT196617 FUO196617:FUP196617 GEK196617:GEL196617 GOG196617:GOH196617 GYC196617:GYD196617 HHY196617:HHZ196617 HRU196617:HRV196617 IBQ196617:IBR196617 ILM196617:ILN196617 IVI196617:IVJ196617 JFE196617:JFF196617 JPA196617:JPB196617 JYW196617:JYX196617 KIS196617:KIT196617 KSO196617:KSP196617 LCK196617:LCL196617 LMG196617:LMH196617 LWC196617:LWD196617 MFY196617:MFZ196617 MPU196617:MPV196617 MZQ196617:MZR196617 NJM196617:NJN196617 NTI196617:NTJ196617 ODE196617:ODF196617 ONA196617:ONB196617 OWW196617:OWX196617 PGS196617:PGT196617 PQO196617:PQP196617 QAK196617:QAL196617 QKG196617:QKH196617 QUC196617:QUD196617 RDY196617:RDZ196617 RNU196617:RNV196617 RXQ196617:RXR196617 SHM196617:SHN196617 SRI196617:SRJ196617 TBE196617:TBF196617 TLA196617:TLB196617 TUW196617:TUX196617 UES196617:UET196617 UOO196617:UOP196617 UYK196617:UYL196617 VIG196617:VIH196617 VSC196617:VSD196617 WBY196617:WBZ196617 WLU196617:WLV196617 WVQ196617:WVR196617 I262153:J262153 JE262153:JF262153 TA262153:TB262153 ACW262153:ACX262153 AMS262153:AMT262153 AWO262153:AWP262153 BGK262153:BGL262153 BQG262153:BQH262153 CAC262153:CAD262153 CJY262153:CJZ262153 CTU262153:CTV262153 DDQ262153:DDR262153 DNM262153:DNN262153 DXI262153:DXJ262153 EHE262153:EHF262153 ERA262153:ERB262153 FAW262153:FAX262153 FKS262153:FKT262153 FUO262153:FUP262153 GEK262153:GEL262153 GOG262153:GOH262153 GYC262153:GYD262153 HHY262153:HHZ262153 HRU262153:HRV262153 IBQ262153:IBR262153 ILM262153:ILN262153 IVI262153:IVJ262153 JFE262153:JFF262153 JPA262153:JPB262153 JYW262153:JYX262153 KIS262153:KIT262153 KSO262153:KSP262153 LCK262153:LCL262153 LMG262153:LMH262153 LWC262153:LWD262153 MFY262153:MFZ262153 MPU262153:MPV262153 MZQ262153:MZR262153 NJM262153:NJN262153 NTI262153:NTJ262153 ODE262153:ODF262153 ONA262153:ONB262153 OWW262153:OWX262153 PGS262153:PGT262153 PQO262153:PQP262153 QAK262153:QAL262153 QKG262153:QKH262153 QUC262153:QUD262153 RDY262153:RDZ262153 RNU262153:RNV262153 RXQ262153:RXR262153 SHM262153:SHN262153 SRI262153:SRJ262153 TBE262153:TBF262153 TLA262153:TLB262153 TUW262153:TUX262153 UES262153:UET262153 UOO262153:UOP262153 UYK262153:UYL262153 VIG262153:VIH262153 VSC262153:VSD262153 WBY262153:WBZ262153 WLU262153:WLV262153 WVQ262153:WVR262153 I327689:J327689 JE327689:JF327689 TA327689:TB327689 ACW327689:ACX327689 AMS327689:AMT327689 AWO327689:AWP327689 BGK327689:BGL327689 BQG327689:BQH327689 CAC327689:CAD327689 CJY327689:CJZ327689 CTU327689:CTV327689 DDQ327689:DDR327689 DNM327689:DNN327689 DXI327689:DXJ327689 EHE327689:EHF327689 ERA327689:ERB327689 FAW327689:FAX327689 FKS327689:FKT327689 FUO327689:FUP327689 GEK327689:GEL327689 GOG327689:GOH327689 GYC327689:GYD327689 HHY327689:HHZ327689 HRU327689:HRV327689 IBQ327689:IBR327689 ILM327689:ILN327689 IVI327689:IVJ327689 JFE327689:JFF327689 JPA327689:JPB327689 JYW327689:JYX327689 KIS327689:KIT327689 KSO327689:KSP327689 LCK327689:LCL327689 LMG327689:LMH327689 LWC327689:LWD327689 MFY327689:MFZ327689 MPU327689:MPV327689 MZQ327689:MZR327689 NJM327689:NJN327689 NTI327689:NTJ327689 ODE327689:ODF327689 ONA327689:ONB327689 OWW327689:OWX327689 PGS327689:PGT327689 PQO327689:PQP327689 QAK327689:QAL327689 QKG327689:QKH327689 QUC327689:QUD327689 RDY327689:RDZ327689 RNU327689:RNV327689 RXQ327689:RXR327689 SHM327689:SHN327689 SRI327689:SRJ327689 TBE327689:TBF327689 TLA327689:TLB327689 TUW327689:TUX327689 UES327689:UET327689 UOO327689:UOP327689 UYK327689:UYL327689 VIG327689:VIH327689 VSC327689:VSD327689 WBY327689:WBZ327689 WLU327689:WLV327689 WVQ327689:WVR327689 I393225:J393225 JE393225:JF393225 TA393225:TB393225 ACW393225:ACX393225 AMS393225:AMT393225 AWO393225:AWP393225 BGK393225:BGL393225 BQG393225:BQH393225 CAC393225:CAD393225 CJY393225:CJZ393225 CTU393225:CTV393225 DDQ393225:DDR393225 DNM393225:DNN393225 DXI393225:DXJ393225 EHE393225:EHF393225 ERA393225:ERB393225 FAW393225:FAX393225 FKS393225:FKT393225 FUO393225:FUP393225 GEK393225:GEL393225 GOG393225:GOH393225 GYC393225:GYD393225 HHY393225:HHZ393225 HRU393225:HRV393225 IBQ393225:IBR393225 ILM393225:ILN393225 IVI393225:IVJ393225 JFE393225:JFF393225 JPA393225:JPB393225 JYW393225:JYX393225 KIS393225:KIT393225 KSO393225:KSP393225 LCK393225:LCL393225 LMG393225:LMH393225 LWC393225:LWD393225 MFY393225:MFZ393225 MPU393225:MPV393225 MZQ393225:MZR393225 NJM393225:NJN393225 NTI393225:NTJ393225 ODE393225:ODF393225 ONA393225:ONB393225 OWW393225:OWX393225 PGS393225:PGT393225 PQO393225:PQP393225 QAK393225:QAL393225 QKG393225:QKH393225 QUC393225:QUD393225 RDY393225:RDZ393225 RNU393225:RNV393225 RXQ393225:RXR393225 SHM393225:SHN393225 SRI393225:SRJ393225 TBE393225:TBF393225 TLA393225:TLB393225 TUW393225:TUX393225 UES393225:UET393225 UOO393225:UOP393225 UYK393225:UYL393225 VIG393225:VIH393225 VSC393225:VSD393225 WBY393225:WBZ393225 WLU393225:WLV393225 WVQ393225:WVR393225 I458761:J458761 JE458761:JF458761 TA458761:TB458761 ACW458761:ACX458761 AMS458761:AMT458761 AWO458761:AWP458761 BGK458761:BGL458761 BQG458761:BQH458761 CAC458761:CAD458761 CJY458761:CJZ458761 CTU458761:CTV458761 DDQ458761:DDR458761 DNM458761:DNN458761 DXI458761:DXJ458761 EHE458761:EHF458761 ERA458761:ERB458761 FAW458761:FAX458761 FKS458761:FKT458761 FUO458761:FUP458761 GEK458761:GEL458761 GOG458761:GOH458761 GYC458761:GYD458761 HHY458761:HHZ458761 HRU458761:HRV458761 IBQ458761:IBR458761 ILM458761:ILN458761 IVI458761:IVJ458761 JFE458761:JFF458761 JPA458761:JPB458761 JYW458761:JYX458761 KIS458761:KIT458761 KSO458761:KSP458761 LCK458761:LCL458761 LMG458761:LMH458761 LWC458761:LWD458761 MFY458761:MFZ458761 MPU458761:MPV458761 MZQ458761:MZR458761 NJM458761:NJN458761 NTI458761:NTJ458761 ODE458761:ODF458761 ONA458761:ONB458761 OWW458761:OWX458761 PGS458761:PGT458761 PQO458761:PQP458761 QAK458761:QAL458761 QKG458761:QKH458761 QUC458761:QUD458761 RDY458761:RDZ458761 RNU458761:RNV458761 RXQ458761:RXR458761 SHM458761:SHN458761 SRI458761:SRJ458761 TBE458761:TBF458761 TLA458761:TLB458761 TUW458761:TUX458761 UES458761:UET458761 UOO458761:UOP458761 UYK458761:UYL458761 VIG458761:VIH458761 VSC458761:VSD458761 WBY458761:WBZ458761 WLU458761:WLV458761 WVQ458761:WVR458761 I524297:J524297 JE524297:JF524297 TA524297:TB524297 ACW524297:ACX524297 AMS524297:AMT524297 AWO524297:AWP524297 BGK524297:BGL524297 BQG524297:BQH524297 CAC524297:CAD524297 CJY524297:CJZ524297 CTU524297:CTV524297 DDQ524297:DDR524297 DNM524297:DNN524297 DXI524297:DXJ524297 EHE524297:EHF524297 ERA524297:ERB524297 FAW524297:FAX524297 FKS524297:FKT524297 FUO524297:FUP524297 GEK524297:GEL524297 GOG524297:GOH524297 GYC524297:GYD524297 HHY524297:HHZ524297 HRU524297:HRV524297 IBQ524297:IBR524297 ILM524297:ILN524297 IVI524297:IVJ524297 JFE524297:JFF524297 JPA524297:JPB524297 JYW524297:JYX524297 KIS524297:KIT524297 KSO524297:KSP524297 LCK524297:LCL524297 LMG524297:LMH524297 LWC524297:LWD524297 MFY524297:MFZ524297 MPU524297:MPV524297 MZQ524297:MZR524297 NJM524297:NJN524297 NTI524297:NTJ524297 ODE524297:ODF524297 ONA524297:ONB524297 OWW524297:OWX524297 PGS524297:PGT524297 PQO524297:PQP524297 QAK524297:QAL524297 QKG524297:QKH524297 QUC524297:QUD524297 RDY524297:RDZ524297 RNU524297:RNV524297 RXQ524297:RXR524297 SHM524297:SHN524297 SRI524297:SRJ524297 TBE524297:TBF524297 TLA524297:TLB524297 TUW524297:TUX524297 UES524297:UET524297 UOO524297:UOP524297 UYK524297:UYL524297 VIG524297:VIH524297 VSC524297:VSD524297 WBY524297:WBZ524297 WLU524297:WLV524297 WVQ524297:WVR524297 I589833:J589833 JE589833:JF589833 TA589833:TB589833 ACW589833:ACX589833 AMS589833:AMT589833 AWO589833:AWP589833 BGK589833:BGL589833 BQG589833:BQH589833 CAC589833:CAD589833 CJY589833:CJZ589833 CTU589833:CTV589833 DDQ589833:DDR589833 DNM589833:DNN589833 DXI589833:DXJ589833 EHE589833:EHF589833 ERA589833:ERB589833 FAW589833:FAX589833 FKS589833:FKT589833 FUO589833:FUP589833 GEK589833:GEL589833 GOG589833:GOH589833 GYC589833:GYD589833 HHY589833:HHZ589833 HRU589833:HRV589833 IBQ589833:IBR589833 ILM589833:ILN589833 IVI589833:IVJ589833 JFE589833:JFF589833 JPA589833:JPB589833 JYW589833:JYX589833 KIS589833:KIT589833 KSO589833:KSP589833 LCK589833:LCL589833 LMG589833:LMH589833 LWC589833:LWD589833 MFY589833:MFZ589833 MPU589833:MPV589833 MZQ589833:MZR589833 NJM589833:NJN589833 NTI589833:NTJ589833 ODE589833:ODF589833 ONA589833:ONB589833 OWW589833:OWX589833 PGS589833:PGT589833 PQO589833:PQP589833 QAK589833:QAL589833 QKG589833:QKH589833 QUC589833:QUD589833 RDY589833:RDZ589833 RNU589833:RNV589833 RXQ589833:RXR589833 SHM589833:SHN589833 SRI589833:SRJ589833 TBE589833:TBF589833 TLA589833:TLB589833 TUW589833:TUX589833 UES589833:UET589833 UOO589833:UOP589833 UYK589833:UYL589833 VIG589833:VIH589833 VSC589833:VSD589833 WBY589833:WBZ589833 WLU589833:WLV589833 WVQ589833:WVR589833 I655369:J655369 JE655369:JF655369 TA655369:TB655369 ACW655369:ACX655369 AMS655369:AMT655369 AWO655369:AWP655369 BGK655369:BGL655369 BQG655369:BQH655369 CAC655369:CAD655369 CJY655369:CJZ655369 CTU655369:CTV655369 DDQ655369:DDR655369 DNM655369:DNN655369 DXI655369:DXJ655369 EHE655369:EHF655369 ERA655369:ERB655369 FAW655369:FAX655369 FKS655369:FKT655369 FUO655369:FUP655369 GEK655369:GEL655369 GOG655369:GOH655369 GYC655369:GYD655369 HHY655369:HHZ655369 HRU655369:HRV655369 IBQ655369:IBR655369 ILM655369:ILN655369 IVI655369:IVJ655369 JFE655369:JFF655369 JPA655369:JPB655369 JYW655369:JYX655369 KIS655369:KIT655369 KSO655369:KSP655369 LCK655369:LCL655369 LMG655369:LMH655369 LWC655369:LWD655369 MFY655369:MFZ655369 MPU655369:MPV655369 MZQ655369:MZR655369 NJM655369:NJN655369 NTI655369:NTJ655369 ODE655369:ODF655369 ONA655369:ONB655369 OWW655369:OWX655369 PGS655369:PGT655369 PQO655369:PQP655369 QAK655369:QAL655369 QKG655369:QKH655369 QUC655369:QUD655369 RDY655369:RDZ655369 RNU655369:RNV655369 RXQ655369:RXR655369 SHM655369:SHN655369 SRI655369:SRJ655369 TBE655369:TBF655369 TLA655369:TLB655369 TUW655369:TUX655369 UES655369:UET655369 UOO655369:UOP655369 UYK655369:UYL655369 VIG655369:VIH655369 VSC655369:VSD655369 WBY655369:WBZ655369 WLU655369:WLV655369 WVQ655369:WVR655369 I720905:J720905 JE720905:JF720905 TA720905:TB720905 ACW720905:ACX720905 AMS720905:AMT720905 AWO720905:AWP720905 BGK720905:BGL720905 BQG720905:BQH720905 CAC720905:CAD720905 CJY720905:CJZ720905 CTU720905:CTV720905 DDQ720905:DDR720905 DNM720905:DNN720905 DXI720905:DXJ720905 EHE720905:EHF720905 ERA720905:ERB720905 FAW720905:FAX720905 FKS720905:FKT720905 FUO720905:FUP720905 GEK720905:GEL720905 GOG720905:GOH720905 GYC720905:GYD720905 HHY720905:HHZ720905 HRU720905:HRV720905 IBQ720905:IBR720905 ILM720905:ILN720905 IVI720905:IVJ720905 JFE720905:JFF720905 JPA720905:JPB720905 JYW720905:JYX720905 KIS720905:KIT720905 KSO720905:KSP720905 LCK720905:LCL720905 LMG720905:LMH720905 LWC720905:LWD720905 MFY720905:MFZ720905 MPU720905:MPV720905 MZQ720905:MZR720905 NJM720905:NJN720905 NTI720905:NTJ720905 ODE720905:ODF720905 ONA720905:ONB720905 OWW720905:OWX720905 PGS720905:PGT720905 PQO720905:PQP720905 QAK720905:QAL720905 QKG720905:QKH720905 QUC720905:QUD720905 RDY720905:RDZ720905 RNU720905:RNV720905 RXQ720905:RXR720905 SHM720905:SHN720905 SRI720905:SRJ720905 TBE720905:TBF720905 TLA720905:TLB720905 TUW720905:TUX720905 UES720905:UET720905 UOO720905:UOP720905 UYK720905:UYL720905 VIG720905:VIH720905 VSC720905:VSD720905 WBY720905:WBZ720905 WLU720905:WLV720905 WVQ720905:WVR720905 I786441:J786441 JE786441:JF786441 TA786441:TB786441 ACW786441:ACX786441 AMS786441:AMT786441 AWO786441:AWP786441 BGK786441:BGL786441 BQG786441:BQH786441 CAC786441:CAD786441 CJY786441:CJZ786441 CTU786441:CTV786441 DDQ786441:DDR786441 DNM786441:DNN786441 DXI786441:DXJ786441 EHE786441:EHF786441 ERA786441:ERB786441 FAW786441:FAX786441 FKS786441:FKT786441 FUO786441:FUP786441 GEK786441:GEL786441 GOG786441:GOH786441 GYC786441:GYD786441 HHY786441:HHZ786441 HRU786441:HRV786441 IBQ786441:IBR786441 ILM786441:ILN786441 IVI786441:IVJ786441 JFE786441:JFF786441 JPA786441:JPB786441 JYW786441:JYX786441 KIS786441:KIT786441 KSO786441:KSP786441 LCK786441:LCL786441 LMG786441:LMH786441 LWC786441:LWD786441 MFY786441:MFZ786441 MPU786441:MPV786441 MZQ786441:MZR786441 NJM786441:NJN786441 NTI786441:NTJ786441 ODE786441:ODF786441 ONA786441:ONB786441 OWW786441:OWX786441 PGS786441:PGT786441 PQO786441:PQP786441 QAK786441:QAL786441 QKG786441:QKH786441 QUC786441:QUD786441 RDY786441:RDZ786441 RNU786441:RNV786441 RXQ786441:RXR786441 SHM786441:SHN786441 SRI786441:SRJ786441 TBE786441:TBF786441 TLA786441:TLB786441 TUW786441:TUX786441 UES786441:UET786441 UOO786441:UOP786441 UYK786441:UYL786441 VIG786441:VIH786441 VSC786441:VSD786441 WBY786441:WBZ786441 WLU786441:WLV786441 WVQ786441:WVR786441 I851977:J851977 JE851977:JF851977 TA851977:TB851977 ACW851977:ACX851977 AMS851977:AMT851977 AWO851977:AWP851977 BGK851977:BGL851977 BQG851977:BQH851977 CAC851977:CAD851977 CJY851977:CJZ851977 CTU851977:CTV851977 DDQ851977:DDR851977 DNM851977:DNN851977 DXI851977:DXJ851977 EHE851977:EHF851977 ERA851977:ERB851977 FAW851977:FAX851977 FKS851977:FKT851977 FUO851977:FUP851977 GEK851977:GEL851977 GOG851977:GOH851977 GYC851977:GYD851977 HHY851977:HHZ851977 HRU851977:HRV851977 IBQ851977:IBR851977 ILM851977:ILN851977 IVI851977:IVJ851977 JFE851977:JFF851977 JPA851977:JPB851977 JYW851977:JYX851977 KIS851977:KIT851977 KSO851977:KSP851977 LCK851977:LCL851977 LMG851977:LMH851977 LWC851977:LWD851977 MFY851977:MFZ851977 MPU851977:MPV851977 MZQ851977:MZR851977 NJM851977:NJN851977 NTI851977:NTJ851977 ODE851977:ODF851977 ONA851977:ONB851977 OWW851977:OWX851977 PGS851977:PGT851977 PQO851977:PQP851977 QAK851977:QAL851977 QKG851977:QKH851977 QUC851977:QUD851977 RDY851977:RDZ851977 RNU851977:RNV851977 RXQ851977:RXR851977 SHM851977:SHN851977 SRI851977:SRJ851977 TBE851977:TBF851977 TLA851977:TLB851977 TUW851977:TUX851977 UES851977:UET851977 UOO851977:UOP851977 UYK851977:UYL851977 VIG851977:VIH851977 VSC851977:VSD851977 WBY851977:WBZ851977 WLU851977:WLV851977 WVQ851977:WVR851977 I917513:J917513 JE917513:JF917513 TA917513:TB917513 ACW917513:ACX917513 AMS917513:AMT917513 AWO917513:AWP917513 BGK917513:BGL917513 BQG917513:BQH917513 CAC917513:CAD917513 CJY917513:CJZ917513 CTU917513:CTV917513 DDQ917513:DDR917513 DNM917513:DNN917513 DXI917513:DXJ917513 EHE917513:EHF917513 ERA917513:ERB917513 FAW917513:FAX917513 FKS917513:FKT917513 FUO917513:FUP917513 GEK917513:GEL917513 GOG917513:GOH917513 GYC917513:GYD917513 HHY917513:HHZ917513 HRU917513:HRV917513 IBQ917513:IBR917513 ILM917513:ILN917513 IVI917513:IVJ917513 JFE917513:JFF917513 JPA917513:JPB917513 JYW917513:JYX917513 KIS917513:KIT917513 KSO917513:KSP917513 LCK917513:LCL917513 LMG917513:LMH917513 LWC917513:LWD917513 MFY917513:MFZ917513 MPU917513:MPV917513 MZQ917513:MZR917513 NJM917513:NJN917513 NTI917513:NTJ917513 ODE917513:ODF917513 ONA917513:ONB917513 OWW917513:OWX917513 PGS917513:PGT917513 PQO917513:PQP917513 QAK917513:QAL917513 QKG917513:QKH917513 QUC917513:QUD917513 RDY917513:RDZ917513 RNU917513:RNV917513 RXQ917513:RXR917513 SHM917513:SHN917513 SRI917513:SRJ917513 TBE917513:TBF917513 TLA917513:TLB917513 TUW917513:TUX917513 UES917513:UET917513 UOO917513:UOP917513 UYK917513:UYL917513 VIG917513:VIH917513 VSC917513:VSD917513 WBY917513:WBZ917513 WLU917513:WLV917513 WVQ917513:WVR917513 I983049:J983049 JE983049:JF983049 TA983049:TB983049 ACW983049:ACX983049 AMS983049:AMT983049 AWO983049:AWP983049 BGK983049:BGL983049 BQG983049:BQH983049 CAC983049:CAD983049 CJY983049:CJZ983049 CTU983049:CTV983049 DDQ983049:DDR983049 DNM983049:DNN983049 DXI983049:DXJ983049 EHE983049:EHF983049 ERA983049:ERB983049 FAW983049:FAX983049 FKS983049:FKT983049 FUO983049:FUP983049 GEK983049:GEL983049 GOG983049:GOH983049 GYC983049:GYD983049 HHY983049:HHZ983049 HRU983049:HRV983049 IBQ983049:IBR983049 ILM983049:ILN983049 IVI983049:IVJ983049 JFE983049:JFF983049 JPA983049:JPB983049 JYW983049:JYX983049 KIS983049:KIT983049 KSO983049:KSP983049 LCK983049:LCL983049 LMG983049:LMH983049 LWC983049:LWD983049 MFY983049:MFZ983049 MPU983049:MPV983049 MZQ983049:MZR983049 NJM983049:NJN983049 NTI983049:NTJ983049 ODE983049:ODF983049 ONA983049:ONB983049 OWW983049:OWX983049 PGS983049:PGT983049 PQO983049:PQP983049 QAK983049:QAL983049 QKG983049:QKH983049 QUC983049:QUD983049 RDY983049:RDZ983049 RNU983049:RNV983049 RXQ983049:RXR983049 SHM983049:SHN983049 SRI983049:SRJ983049 TBE983049:TBF983049 TLA983049:TLB983049 TUW983049:TUX983049 UES983049:UET983049 UOO983049:UOP983049 UYK983049:UYL983049 VIG983049:VIH983049 VSC983049:VSD983049 WBY983049:WBZ983049 WLU983049:WLV983049 WVQ983049:WVR983049">
      <formula1>0</formula1>
      <formula2>1</formula2>
    </dataValidation>
  </dataValidations>
  <pageMargins left="0.511811024" right="0.511811024" top="0.78740157499999996" bottom="0.78740157499999996" header="0.31496062000000002" footer="0.31496062000000002"/>
  <pageSetup paperSize="9" scale="56" fitToHeight="0" orientation="portrait" verticalDpi="4294967295"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V24"/>
  <sheetViews>
    <sheetView view="pageBreakPreview" zoomScaleNormal="100" zoomScaleSheetLayoutView="100" workbookViewId="0">
      <selection activeCell="I23" sqref="I23"/>
    </sheetView>
  </sheetViews>
  <sheetFormatPr defaultRowHeight="21" customHeight="1" outlineLevelRow="1" x14ac:dyDescent="0.25"/>
  <cols>
    <col min="1" max="1" width="7.7109375" style="12" customWidth="1"/>
    <col min="2" max="2" width="23.85546875" style="12" customWidth="1"/>
    <col min="3" max="4" width="11.7109375" style="12" customWidth="1"/>
    <col min="5" max="5" width="12.7109375" style="12" customWidth="1"/>
    <col min="6" max="16" width="11.7109375" style="12" customWidth="1"/>
    <col min="17" max="17" width="9.140625" style="12"/>
    <col min="18" max="20" width="12.7109375" style="12" customWidth="1"/>
    <col min="21" max="16384" width="9.140625" style="12"/>
  </cols>
  <sheetData>
    <row r="1" spans="1:22" ht="16.5" customHeight="1" x14ac:dyDescent="0.25">
      <c r="A1" s="127" t="s">
        <v>25</v>
      </c>
      <c r="B1" s="127"/>
      <c r="C1" s="127"/>
      <c r="D1" s="127"/>
      <c r="E1" s="127"/>
      <c r="F1" s="127"/>
      <c r="G1" s="127"/>
      <c r="H1" s="127"/>
      <c r="I1" s="127"/>
      <c r="J1" s="127"/>
      <c r="K1" s="127"/>
      <c r="L1" s="127"/>
      <c r="M1" s="127"/>
      <c r="N1" s="127"/>
      <c r="O1" s="127"/>
      <c r="P1" s="127"/>
      <c r="Q1" s="18"/>
      <c r="R1" s="18"/>
      <c r="S1" s="18"/>
      <c r="T1" s="18"/>
      <c r="U1" s="18"/>
      <c r="V1" s="18"/>
    </row>
    <row r="2" spans="1:22" ht="16.5" customHeight="1" x14ac:dyDescent="0.25">
      <c r="A2" s="127"/>
      <c r="B2" s="127"/>
      <c r="C2" s="127"/>
      <c r="D2" s="127"/>
      <c r="E2" s="127"/>
      <c r="F2" s="127"/>
      <c r="G2" s="127"/>
      <c r="H2" s="127"/>
      <c r="I2" s="127"/>
      <c r="J2" s="127"/>
      <c r="K2" s="127"/>
      <c r="L2" s="127"/>
      <c r="M2" s="127"/>
      <c r="N2" s="127"/>
      <c r="O2" s="127"/>
      <c r="P2" s="127"/>
      <c r="Q2" s="18"/>
      <c r="R2" s="18"/>
      <c r="S2" s="18"/>
      <c r="T2" s="18"/>
      <c r="U2" s="18"/>
      <c r="V2" s="18"/>
    </row>
    <row r="3" spans="1:22" ht="16.5" customHeight="1" x14ac:dyDescent="0.25">
      <c r="A3" s="127"/>
      <c r="B3" s="127"/>
      <c r="C3" s="127"/>
      <c r="D3" s="127"/>
      <c r="E3" s="127"/>
      <c r="F3" s="127"/>
      <c r="G3" s="127"/>
      <c r="H3" s="127"/>
      <c r="I3" s="127"/>
      <c r="J3" s="127"/>
      <c r="K3" s="127"/>
      <c r="L3" s="127"/>
      <c r="M3" s="127"/>
      <c r="N3" s="127"/>
      <c r="O3" s="127"/>
      <c r="P3" s="127"/>
      <c r="Q3" s="18"/>
      <c r="R3" s="18"/>
      <c r="S3" s="18"/>
      <c r="T3" s="18"/>
      <c r="U3" s="18"/>
      <c r="V3" s="18"/>
    </row>
    <row r="4" spans="1:22" ht="20.100000000000001" customHeight="1" x14ac:dyDescent="0.25">
      <c r="A4" s="276" t="str">
        <f>'Plan. Orçamentária'!A4:I4</f>
        <v>OBRA POR EXECUÇÃO INDIRETA</v>
      </c>
      <c r="B4" s="276"/>
      <c r="C4" s="276"/>
      <c r="D4" s="276"/>
      <c r="E4" s="276"/>
      <c r="F4" s="276"/>
      <c r="G4" s="276"/>
      <c r="H4" s="276"/>
      <c r="I4" s="276"/>
      <c r="J4" s="276"/>
      <c r="K4" s="276"/>
      <c r="L4" s="276"/>
      <c r="M4" s="276"/>
      <c r="N4" s="276"/>
      <c r="O4" s="276"/>
      <c r="P4" s="276"/>
      <c r="Q4" s="18"/>
      <c r="R4" s="18"/>
      <c r="S4" s="18"/>
      <c r="T4" s="18"/>
      <c r="U4" s="18"/>
      <c r="V4" s="18"/>
    </row>
    <row r="5" spans="1:22" ht="20.100000000000001" customHeight="1" x14ac:dyDescent="0.25">
      <c r="A5" s="277" t="str">
        <f>'Plan. Orçamentária'!A5:I5</f>
        <v xml:space="preserve"> Setor requisitante: Secretaria Municipal de Obras e Serviços Urbanos</v>
      </c>
      <c r="B5" s="278"/>
      <c r="C5" s="278"/>
      <c r="D5" s="278"/>
      <c r="E5" s="278"/>
      <c r="F5" s="278"/>
      <c r="G5" s="278"/>
      <c r="H5" s="278"/>
      <c r="I5" s="278"/>
      <c r="J5" s="278"/>
      <c r="K5" s="278"/>
      <c r="L5" s="278"/>
      <c r="M5" s="278"/>
      <c r="N5" s="278"/>
      <c r="O5" s="278"/>
      <c r="P5" s="279"/>
      <c r="Q5" s="18"/>
      <c r="R5" s="18"/>
      <c r="S5" s="18"/>
      <c r="T5" s="18"/>
      <c r="U5" s="18"/>
      <c r="V5" s="18"/>
    </row>
    <row r="6" spans="1:22" ht="20.100000000000001" customHeight="1" x14ac:dyDescent="0.25">
      <c r="A6" s="128" t="str">
        <f>'Plan. Orçamentária'!A6:B7</f>
        <v>Objeto:</v>
      </c>
      <c r="B6" s="199" t="str">
        <f>'Plan. Orçamentária'!C6</f>
        <v>LOTE 03 - Pavimentação de via em piso de concreto pré-moldado intertravado, tipo Sextavado - Rua Antônio Muzzi e Rua Vicente Augusto, bairro Santa Maria - Nova Era/MG</v>
      </c>
      <c r="C6" s="199"/>
      <c r="D6" s="199"/>
      <c r="E6" s="199"/>
      <c r="F6" s="199"/>
      <c r="G6" s="199"/>
      <c r="H6" s="199"/>
      <c r="I6" s="199"/>
      <c r="J6" s="199"/>
      <c r="K6" s="199"/>
      <c r="L6" s="199"/>
      <c r="M6" s="199"/>
      <c r="N6" s="130" t="str">
        <f>'Plan. Orçamentária'!G6:G7</f>
        <v>BDI:</v>
      </c>
      <c r="O6" s="200">
        <f>'Plan. Orçamentária'!H6:H7</f>
        <v>0.30380000000000001</v>
      </c>
      <c r="P6" s="201">
        <f ca="1">'Plan. Orçamentária'!I6:I7</f>
        <v>44887</v>
      </c>
      <c r="Q6" s="18"/>
      <c r="R6" s="18"/>
      <c r="S6" s="18"/>
      <c r="T6" s="18"/>
      <c r="U6" s="18"/>
      <c r="V6" s="18"/>
    </row>
    <row r="7" spans="1:22" ht="20.100000000000001" customHeight="1" x14ac:dyDescent="0.25">
      <c r="A7" s="128"/>
      <c r="B7" s="199"/>
      <c r="C7" s="199"/>
      <c r="D7" s="199"/>
      <c r="E7" s="199"/>
      <c r="F7" s="199"/>
      <c r="G7" s="199"/>
      <c r="H7" s="199"/>
      <c r="I7" s="199"/>
      <c r="J7" s="199"/>
      <c r="K7" s="199"/>
      <c r="L7" s="199"/>
      <c r="M7" s="199"/>
      <c r="N7" s="130"/>
      <c r="O7" s="200"/>
      <c r="P7" s="201"/>
      <c r="Q7" s="18"/>
      <c r="R7" s="18"/>
      <c r="S7" s="18"/>
      <c r="T7" s="18"/>
      <c r="U7" s="18"/>
      <c r="V7" s="18"/>
    </row>
    <row r="8" spans="1:22" ht="20.100000000000001" customHeight="1" x14ac:dyDescent="0.25">
      <c r="A8" s="125" t="s">
        <v>49</v>
      </c>
      <c r="B8" s="125"/>
      <c r="C8" s="125"/>
      <c r="D8" s="125"/>
      <c r="E8" s="125"/>
      <c r="F8" s="125"/>
      <c r="G8" s="125"/>
      <c r="H8" s="125"/>
      <c r="I8" s="125"/>
      <c r="J8" s="125"/>
      <c r="K8" s="125"/>
      <c r="L8" s="125"/>
      <c r="M8" s="125"/>
      <c r="N8" s="125"/>
      <c r="O8" s="125"/>
      <c r="P8" s="125"/>
      <c r="Q8" s="18"/>
      <c r="R8" s="18"/>
      <c r="S8" s="18"/>
      <c r="T8" s="18"/>
      <c r="U8" s="18"/>
      <c r="V8" s="18"/>
    </row>
    <row r="9" spans="1:22" ht="20.100000000000001" customHeight="1" x14ac:dyDescent="0.25">
      <c r="A9" s="280" t="s">
        <v>50</v>
      </c>
      <c r="B9" s="281" t="s">
        <v>161</v>
      </c>
      <c r="C9" s="281"/>
      <c r="D9" s="281"/>
      <c r="E9" s="281" t="s">
        <v>51</v>
      </c>
      <c r="F9" s="281" t="s">
        <v>52</v>
      </c>
      <c r="G9" s="281" t="s">
        <v>53</v>
      </c>
      <c r="H9" s="281" t="s">
        <v>54</v>
      </c>
      <c r="I9" s="281" t="s">
        <v>55</v>
      </c>
      <c r="J9" s="281" t="s">
        <v>56</v>
      </c>
      <c r="K9" s="281" t="s">
        <v>57</v>
      </c>
      <c r="L9" s="281" t="s">
        <v>58</v>
      </c>
      <c r="M9" s="281" t="s">
        <v>59</v>
      </c>
      <c r="N9" s="281" t="s">
        <v>60</v>
      </c>
      <c r="O9" s="281" t="s">
        <v>61</v>
      </c>
      <c r="P9" s="280" t="s">
        <v>62</v>
      </c>
      <c r="Q9" s="18"/>
      <c r="R9" s="18"/>
      <c r="S9" s="18"/>
      <c r="T9" s="18"/>
      <c r="U9" s="18"/>
      <c r="V9" s="18"/>
    </row>
    <row r="10" spans="1:22" ht="20.100000000000001" customHeight="1" x14ac:dyDescent="0.25">
      <c r="A10" s="280"/>
      <c r="B10" s="281"/>
      <c r="C10" s="281"/>
      <c r="D10" s="281"/>
      <c r="E10" s="281"/>
      <c r="F10" s="281"/>
      <c r="G10" s="280"/>
      <c r="H10" s="280"/>
      <c r="I10" s="280"/>
      <c r="J10" s="280"/>
      <c r="K10" s="280"/>
      <c r="L10" s="280"/>
      <c r="M10" s="280"/>
      <c r="N10" s="280"/>
      <c r="O10" s="280"/>
      <c r="P10" s="280"/>
      <c r="Q10" s="18"/>
      <c r="R10" s="18"/>
      <c r="S10" s="18"/>
      <c r="T10" s="18"/>
      <c r="U10" s="18"/>
      <c r="V10" s="18"/>
    </row>
    <row r="11" spans="1:22" ht="20.100000000000001" customHeight="1" outlineLevel="1" x14ac:dyDescent="0.25">
      <c r="A11" s="283">
        <f>'Plan. Orçamentária'!A10</f>
        <v>1</v>
      </c>
      <c r="B11" s="284" t="str">
        <f>'Plan. Orçamentária'!D10</f>
        <v>MOBILIZAÇÃO E DESMOBILIZAÇÃO</v>
      </c>
      <c r="C11" s="284"/>
      <c r="D11" s="284"/>
      <c r="E11" s="24" t="s">
        <v>63</v>
      </c>
      <c r="F11" s="25">
        <f>SUM(G11:I11)</f>
        <v>1</v>
      </c>
      <c r="G11" s="25">
        <f>G12/$F$12</f>
        <v>0.7</v>
      </c>
      <c r="H11" s="25">
        <f>H12/$F$12</f>
        <v>0</v>
      </c>
      <c r="I11" s="25">
        <f>I12/$F$12</f>
        <v>0.3</v>
      </c>
      <c r="J11" s="20"/>
      <c r="K11" s="20"/>
      <c r="L11" s="20"/>
      <c r="M11" s="20"/>
      <c r="N11" s="20"/>
      <c r="O11" s="20"/>
      <c r="P11" s="20"/>
      <c r="Q11" s="18"/>
      <c r="R11" s="58"/>
      <c r="T11" s="59"/>
      <c r="U11" s="18"/>
      <c r="V11" s="18"/>
    </row>
    <row r="12" spans="1:22" ht="20.100000000000001" customHeight="1" outlineLevel="1" x14ac:dyDescent="0.25">
      <c r="A12" s="283"/>
      <c r="B12" s="284"/>
      <c r="C12" s="284"/>
      <c r="D12" s="284"/>
      <c r="E12" s="19" t="s">
        <v>64</v>
      </c>
      <c r="F12" s="5">
        <f>'Plan. Orçamentária'!I12</f>
        <v>2487</v>
      </c>
      <c r="G12" s="5">
        <f>'Plan. Orçamentária'!I12*0.7</f>
        <v>1740.9</v>
      </c>
      <c r="H12" s="39">
        <v>0</v>
      </c>
      <c r="I12" s="121">
        <f>'Plan. Orçamentária'!I12*0.3</f>
        <v>746.1</v>
      </c>
      <c r="J12" s="20"/>
      <c r="K12" s="20"/>
      <c r="L12" s="20"/>
      <c r="M12" s="20"/>
      <c r="N12" s="20"/>
      <c r="O12" s="20"/>
      <c r="P12" s="20"/>
      <c r="Q12" s="18"/>
      <c r="R12" s="56">
        <f>F12</f>
        <v>2487</v>
      </c>
      <c r="S12" s="21">
        <f>SUM(G12:I12)</f>
        <v>2487</v>
      </c>
      <c r="T12" s="57">
        <f>R12-S12</f>
        <v>0</v>
      </c>
      <c r="U12" s="18"/>
      <c r="V12" s="18"/>
    </row>
    <row r="13" spans="1:22" ht="20.100000000000001" customHeight="1" outlineLevel="1" x14ac:dyDescent="0.25">
      <c r="A13" s="283">
        <f>'Plan. Orçamentária'!A13</f>
        <v>2</v>
      </c>
      <c r="B13" s="284" t="str">
        <f>'Plan. Orçamentária'!D13</f>
        <v>CANTEIRO DE OBRAS</v>
      </c>
      <c r="C13" s="284"/>
      <c r="D13" s="284"/>
      <c r="E13" s="24" t="s">
        <v>63</v>
      </c>
      <c r="F13" s="25">
        <f>SUM(G13:I13)</f>
        <v>1</v>
      </c>
      <c r="G13" s="25">
        <f>G14/$F$14</f>
        <v>0.33329999999999999</v>
      </c>
      <c r="H13" s="25">
        <f>H14/$F$14</f>
        <v>0.33329999999999999</v>
      </c>
      <c r="I13" s="25">
        <f>(I14/$F$14)+0.0001</f>
        <v>0.33339999999999997</v>
      </c>
      <c r="J13" s="20"/>
      <c r="K13" s="20"/>
      <c r="L13" s="20"/>
      <c r="M13" s="20"/>
      <c r="N13" s="20"/>
      <c r="O13" s="20"/>
      <c r="P13" s="20"/>
      <c r="Q13" s="18"/>
      <c r="R13" s="58"/>
      <c r="T13" s="57"/>
      <c r="U13" s="18"/>
      <c r="V13" s="18"/>
    </row>
    <row r="14" spans="1:22" ht="20.100000000000001" customHeight="1" outlineLevel="1" x14ac:dyDescent="0.25">
      <c r="A14" s="283"/>
      <c r="B14" s="284"/>
      <c r="C14" s="284"/>
      <c r="D14" s="284"/>
      <c r="E14" s="19" t="s">
        <v>64</v>
      </c>
      <c r="F14" s="5">
        <f>'Plan. Orçamentária'!I19</f>
        <v>8710.8700000000008</v>
      </c>
      <c r="G14" s="5">
        <f>'Plan. Orçamentária'!I19/3</f>
        <v>2903.62</v>
      </c>
      <c r="H14" s="5">
        <f>'Plan. Orçamentária'!I19/3</f>
        <v>2903.62</v>
      </c>
      <c r="I14" s="5">
        <f>('Plan. Orçamentária'!I19/3)+0.01</f>
        <v>2903.63</v>
      </c>
      <c r="J14" s="20"/>
      <c r="K14" s="20"/>
      <c r="L14" s="20"/>
      <c r="M14" s="20"/>
      <c r="N14" s="20"/>
      <c r="O14" s="20"/>
      <c r="P14" s="20"/>
      <c r="Q14" s="18"/>
      <c r="R14" s="60">
        <f>F14</f>
        <v>8710.8700000000008</v>
      </c>
      <c r="S14" s="61">
        <f>SUM(G14:I14)</f>
        <v>8710.8700000000008</v>
      </c>
      <c r="T14" s="62">
        <f>R14-S14</f>
        <v>0</v>
      </c>
      <c r="U14" s="18"/>
      <c r="V14" s="18"/>
    </row>
    <row r="15" spans="1:22" ht="20.100000000000001" customHeight="1" x14ac:dyDescent="0.25">
      <c r="A15" s="283">
        <f>'Plan. Orçamentária'!A20</f>
        <v>3</v>
      </c>
      <c r="B15" s="284" t="str">
        <f>'Plan. Orçamentária'!D20</f>
        <v>ADMINISTRAÇAO LOCAL</v>
      </c>
      <c r="C15" s="284"/>
      <c r="D15" s="284"/>
      <c r="E15" s="24" t="s">
        <v>63</v>
      </c>
      <c r="F15" s="25">
        <f>SUM(G15:I15)</f>
        <v>1</v>
      </c>
      <c r="G15" s="25">
        <f>G16/$F$16</f>
        <v>0.33329999999999999</v>
      </c>
      <c r="H15" s="25">
        <f>H16/$F$16</f>
        <v>0.33329999999999999</v>
      </c>
      <c r="I15" s="25">
        <f>I16/$F$16+0.0001</f>
        <v>0.33339999999999997</v>
      </c>
      <c r="J15" s="20"/>
      <c r="K15" s="20"/>
      <c r="L15" s="20"/>
      <c r="M15" s="20"/>
      <c r="N15" s="20"/>
      <c r="O15" s="20"/>
      <c r="P15" s="20"/>
      <c r="Q15" s="18"/>
      <c r="R15" s="56"/>
      <c r="S15" s="21"/>
      <c r="T15" s="57"/>
      <c r="U15" s="18"/>
      <c r="V15" s="18"/>
    </row>
    <row r="16" spans="1:22" ht="20.100000000000001" customHeight="1" x14ac:dyDescent="0.25">
      <c r="A16" s="283"/>
      <c r="B16" s="284"/>
      <c r="C16" s="284"/>
      <c r="D16" s="284"/>
      <c r="E16" s="19" t="s">
        <v>64</v>
      </c>
      <c r="F16" s="5">
        <f>'Plan. Orçamentária'!I25</f>
        <v>33520.65</v>
      </c>
      <c r="G16" s="5">
        <f>'Plan. Orçamentária'!I25/3</f>
        <v>11173.55</v>
      </c>
      <c r="H16" s="5">
        <f>'Plan. Orçamentária'!I25/3</f>
        <v>11173.55</v>
      </c>
      <c r="I16" s="5">
        <f>'Plan. Orçamentária'!I25/3</f>
        <v>11173.55</v>
      </c>
      <c r="J16" s="20"/>
      <c r="K16" s="20"/>
      <c r="L16" s="20"/>
      <c r="M16" s="20"/>
      <c r="N16" s="20"/>
      <c r="O16" s="20"/>
      <c r="P16" s="20"/>
      <c r="Q16" s="18"/>
      <c r="R16" s="56">
        <f>F16</f>
        <v>33520.65</v>
      </c>
      <c r="S16" s="21">
        <f>SUM(G16:I16)</f>
        <v>33520.65</v>
      </c>
      <c r="T16" s="57">
        <f>R16-S16</f>
        <v>0</v>
      </c>
      <c r="U16" s="18"/>
      <c r="V16" s="18"/>
    </row>
    <row r="17" spans="1:22" ht="20.100000000000001" customHeight="1" x14ac:dyDescent="0.25">
      <c r="A17" s="283">
        <f>'Plan. Orçamentária'!A26</f>
        <v>4</v>
      </c>
      <c r="B17" s="284" t="str">
        <f>'Plan. Orçamentária'!D26</f>
        <v>SINALIZAÇÃO</v>
      </c>
      <c r="C17" s="284"/>
      <c r="D17" s="284"/>
      <c r="E17" s="24" t="s">
        <v>63</v>
      </c>
      <c r="F17" s="25">
        <f>SUM(G17:I17)</f>
        <v>1</v>
      </c>
      <c r="G17" s="25">
        <f>G18/$F$18</f>
        <v>0.33329999999999999</v>
      </c>
      <c r="H17" s="25">
        <f t="shared" ref="H17" si="0">H18/$F$18</f>
        <v>0.33329999999999999</v>
      </c>
      <c r="I17" s="25">
        <f>I18/$F$18+0.0001</f>
        <v>0.33339999999999997</v>
      </c>
      <c r="J17" s="20"/>
      <c r="K17" s="20"/>
      <c r="L17" s="20"/>
      <c r="M17" s="20"/>
      <c r="N17" s="20"/>
      <c r="O17" s="20"/>
      <c r="P17" s="20"/>
      <c r="Q17" s="18"/>
      <c r="R17" s="56"/>
      <c r="S17" s="21"/>
      <c r="T17" s="57"/>
      <c r="U17" s="18"/>
      <c r="V17" s="18"/>
    </row>
    <row r="18" spans="1:22" ht="20.100000000000001" customHeight="1" x14ac:dyDescent="0.25">
      <c r="A18" s="283"/>
      <c r="B18" s="284"/>
      <c r="C18" s="284"/>
      <c r="D18" s="284"/>
      <c r="E18" s="19" t="s">
        <v>64</v>
      </c>
      <c r="F18" s="5">
        <f>'Plan. Orçamentária'!I29</f>
        <v>576.51</v>
      </c>
      <c r="G18" s="5">
        <f>'Plan. Orçamentária'!I29/3</f>
        <v>192.17</v>
      </c>
      <c r="H18" s="5">
        <f>'Plan. Orçamentária'!I29/3</f>
        <v>192.17</v>
      </c>
      <c r="I18" s="5">
        <f>'Plan. Orçamentária'!I29/3</f>
        <v>192.17</v>
      </c>
      <c r="J18" s="20"/>
      <c r="K18" s="20"/>
      <c r="L18" s="20"/>
      <c r="M18" s="20"/>
      <c r="N18" s="20"/>
      <c r="O18" s="20"/>
      <c r="P18" s="20"/>
      <c r="Q18" s="18"/>
      <c r="R18" s="56">
        <f>F18</f>
        <v>576.51</v>
      </c>
      <c r="S18" s="21">
        <f>SUM(G18:I18)</f>
        <v>576.51</v>
      </c>
      <c r="T18" s="57">
        <f>R18-S18</f>
        <v>0</v>
      </c>
      <c r="U18" s="18"/>
      <c r="V18" s="18"/>
    </row>
    <row r="19" spans="1:22" ht="20.100000000000001" customHeight="1" x14ac:dyDescent="0.25">
      <c r="A19" s="283">
        <f>'Plan. Orçamentária'!A30</f>
        <v>5</v>
      </c>
      <c r="B19" s="284" t="str">
        <f>'Plan. Orçamentária'!D30</f>
        <v>DRENAGEM PLUVIAL</v>
      </c>
      <c r="C19" s="284"/>
      <c r="D19" s="284"/>
      <c r="E19" s="24" t="s">
        <v>63</v>
      </c>
      <c r="F19" s="25">
        <f>SUM(G19:I19)</f>
        <v>1</v>
      </c>
      <c r="G19" s="25">
        <v>0.75</v>
      </c>
      <c r="H19" s="25">
        <v>0.25</v>
      </c>
      <c r="I19" s="25">
        <v>0</v>
      </c>
      <c r="J19" s="20"/>
      <c r="K19" s="20"/>
      <c r="L19" s="20"/>
      <c r="M19" s="20"/>
      <c r="N19" s="20"/>
      <c r="O19" s="20"/>
      <c r="P19" s="20"/>
      <c r="Q19" s="18"/>
      <c r="R19" s="56"/>
      <c r="S19" s="21"/>
      <c r="T19" s="57"/>
      <c r="U19" s="18"/>
      <c r="V19" s="18"/>
    </row>
    <row r="20" spans="1:22" ht="20.100000000000001" customHeight="1" x14ac:dyDescent="0.25">
      <c r="A20" s="283"/>
      <c r="B20" s="284"/>
      <c r="C20" s="284"/>
      <c r="D20" s="284"/>
      <c r="E20" s="19" t="s">
        <v>64</v>
      </c>
      <c r="F20" s="5">
        <f>'Plan. Orçamentária'!I38</f>
        <v>69447.429999999993</v>
      </c>
      <c r="G20" s="5">
        <f>$F$20*G19</f>
        <v>52085.57</v>
      </c>
      <c r="H20" s="5">
        <f>$F$20*H19</f>
        <v>17361.86</v>
      </c>
      <c r="I20" s="5">
        <f>$F$20*I19</f>
        <v>0</v>
      </c>
      <c r="J20" s="20"/>
      <c r="K20" s="20"/>
      <c r="L20" s="20"/>
      <c r="M20" s="20"/>
      <c r="N20" s="20"/>
      <c r="O20" s="20"/>
      <c r="P20" s="20"/>
      <c r="Q20" s="18"/>
      <c r="R20" s="56">
        <f>F20</f>
        <v>69447.429999999993</v>
      </c>
      <c r="S20" s="21">
        <f>SUM(G20:I20)</f>
        <v>69447.429999999993</v>
      </c>
      <c r="T20" s="57">
        <f>R20-S20</f>
        <v>0</v>
      </c>
      <c r="U20" s="18"/>
      <c r="V20" s="18"/>
    </row>
    <row r="21" spans="1:22" ht="20.100000000000001" customHeight="1" x14ac:dyDescent="0.25">
      <c r="A21" s="283">
        <f>'Plan. Orçamentária'!A39</f>
        <v>6</v>
      </c>
      <c r="B21" s="284" t="str">
        <f>'Plan. Orçamentária'!D39</f>
        <v>PAVIMENTAÇÃO</v>
      </c>
      <c r="C21" s="284"/>
      <c r="D21" s="284"/>
      <c r="E21" s="24" t="s">
        <v>63</v>
      </c>
      <c r="F21" s="25">
        <f>SUM(G21:I21)</f>
        <v>1</v>
      </c>
      <c r="G21" s="25">
        <v>0.33329999999999999</v>
      </c>
      <c r="H21" s="25">
        <v>0.33329999999999999</v>
      </c>
      <c r="I21" s="25">
        <v>0.33339999999999997</v>
      </c>
      <c r="J21" s="20"/>
      <c r="K21" s="20"/>
      <c r="L21" s="20"/>
      <c r="M21" s="20"/>
      <c r="N21" s="20"/>
      <c r="O21" s="20"/>
      <c r="P21" s="20"/>
      <c r="Q21" s="18"/>
      <c r="R21" s="56"/>
      <c r="S21" s="21"/>
      <c r="T21" s="57"/>
      <c r="U21" s="18"/>
      <c r="V21" s="18"/>
    </row>
    <row r="22" spans="1:22" ht="20.100000000000001" customHeight="1" x14ac:dyDescent="0.25">
      <c r="A22" s="283"/>
      <c r="B22" s="284"/>
      <c r="C22" s="284"/>
      <c r="D22" s="284"/>
      <c r="E22" s="19" t="s">
        <v>64</v>
      </c>
      <c r="F22" s="5">
        <f>'Plan. Orçamentária'!I48</f>
        <v>385143.5</v>
      </c>
      <c r="G22" s="5">
        <f>$F$22*G21</f>
        <v>128368.33</v>
      </c>
      <c r="H22" s="5">
        <f>$F$22*H21</f>
        <v>128368.33</v>
      </c>
      <c r="I22" s="5">
        <f>$F$22*I21-0.001</f>
        <v>128406.84</v>
      </c>
      <c r="J22" s="20"/>
      <c r="K22" s="20"/>
      <c r="L22" s="20"/>
      <c r="M22" s="20"/>
      <c r="N22" s="20"/>
      <c r="O22" s="20"/>
      <c r="P22" s="20"/>
      <c r="Q22" s="18"/>
      <c r="R22" s="60">
        <f>F22</f>
        <v>385143.5</v>
      </c>
      <c r="S22" s="61">
        <f>SUM(G22:I22)</f>
        <v>385143.5</v>
      </c>
      <c r="T22" s="62">
        <f>R22-S22</f>
        <v>0</v>
      </c>
      <c r="U22" s="18"/>
      <c r="V22" s="18"/>
    </row>
    <row r="23" spans="1:22" ht="20.100000000000001" customHeight="1" x14ac:dyDescent="0.25">
      <c r="A23" s="282" t="s">
        <v>46</v>
      </c>
      <c r="B23" s="282"/>
      <c r="C23" s="282"/>
      <c r="D23" s="282"/>
      <c r="E23" s="22" t="s">
        <v>63</v>
      </c>
      <c r="F23" s="23">
        <f>G23+H23+I23</f>
        <v>1</v>
      </c>
      <c r="G23" s="23">
        <f>G24/$F$24</f>
        <v>0.39300000000000002</v>
      </c>
      <c r="H23" s="23">
        <f t="shared" ref="H23:I23" si="1">H24/$F$24</f>
        <v>0.3201</v>
      </c>
      <c r="I23" s="23">
        <f t="shared" si="1"/>
        <v>0.28689999999999999</v>
      </c>
      <c r="J23" s="63"/>
      <c r="K23" s="63"/>
      <c r="L23" s="63"/>
      <c r="M23" s="63"/>
      <c r="N23" s="63"/>
      <c r="O23" s="63"/>
      <c r="P23" s="63"/>
      <c r="Q23" s="18"/>
      <c r="R23" s="42">
        <f t="shared" ref="R23:R24" si="2">F23</f>
        <v>1</v>
      </c>
      <c r="S23" s="42">
        <f t="shared" ref="S23" si="3">SUM(G23:O23)</f>
        <v>1</v>
      </c>
      <c r="T23" s="42">
        <f t="shared" ref="T23:T24" si="4">R23-S23</f>
        <v>0</v>
      </c>
      <c r="U23" s="18"/>
      <c r="V23" s="18"/>
    </row>
    <row r="24" spans="1:22" ht="20.100000000000001" customHeight="1" x14ac:dyDescent="0.25">
      <c r="A24" s="282"/>
      <c r="B24" s="282"/>
      <c r="C24" s="282"/>
      <c r="D24" s="282"/>
      <c r="E24" s="22" t="s">
        <v>64</v>
      </c>
      <c r="F24" s="55">
        <f>F12+F14+F16+F18+F20+F22</f>
        <v>499885.96</v>
      </c>
      <c r="G24" s="64">
        <f>G12+G14+G16+G18+G20+G22</f>
        <v>196464.14</v>
      </c>
      <c r="H24" s="64">
        <f t="shared" ref="H24:I24" si="5">H12+H14+H16+H18+H20+H22</f>
        <v>159999.53</v>
      </c>
      <c r="I24" s="64">
        <f t="shared" si="5"/>
        <v>143422.29</v>
      </c>
      <c r="J24" s="65"/>
      <c r="K24" s="65"/>
      <c r="L24" s="65"/>
      <c r="M24" s="65"/>
      <c r="N24" s="65"/>
      <c r="O24" s="65"/>
      <c r="P24" s="65"/>
      <c r="Q24" s="18"/>
      <c r="R24" s="21">
        <f t="shared" si="2"/>
        <v>499885.96</v>
      </c>
      <c r="S24" s="21">
        <f>'Plan. Orçamentária'!I49</f>
        <v>499885.96</v>
      </c>
      <c r="T24" s="21">
        <f t="shared" si="4"/>
        <v>0</v>
      </c>
      <c r="U24" s="18"/>
      <c r="V24" s="18"/>
    </row>
  </sheetData>
  <mergeCells count="36">
    <mergeCell ref="A23:D24"/>
    <mergeCell ref="A11:A12"/>
    <mergeCell ref="B11:D12"/>
    <mergeCell ref="A13:A14"/>
    <mergeCell ref="B13:D14"/>
    <mergeCell ref="A15:A16"/>
    <mergeCell ref="B15:D16"/>
    <mergeCell ref="A17:A18"/>
    <mergeCell ref="B17:D18"/>
    <mergeCell ref="A19:A20"/>
    <mergeCell ref="B19:D20"/>
    <mergeCell ref="A21:A22"/>
    <mergeCell ref="B21:D22"/>
    <mergeCell ref="A8:P8"/>
    <mergeCell ref="A9:A10"/>
    <mergeCell ref="B9:D10"/>
    <mergeCell ref="E9:E10"/>
    <mergeCell ref="F9:F10"/>
    <mergeCell ref="G9:G10"/>
    <mergeCell ref="H9:H10"/>
    <mergeCell ref="I9:I10"/>
    <mergeCell ref="J9:J10"/>
    <mergeCell ref="K9:K10"/>
    <mergeCell ref="L9:L10"/>
    <mergeCell ref="M9:M10"/>
    <mergeCell ref="N9:N10"/>
    <mergeCell ref="O9:O10"/>
    <mergeCell ref="P9:P10"/>
    <mergeCell ref="A1:P3"/>
    <mergeCell ref="A4:P4"/>
    <mergeCell ref="A6:A7"/>
    <mergeCell ref="B6:M7"/>
    <mergeCell ref="N6:N7"/>
    <mergeCell ref="O6:O7"/>
    <mergeCell ref="P6:P7"/>
    <mergeCell ref="A5:P5"/>
  </mergeCells>
  <pageMargins left="0.19685039370078741" right="0.19685039370078741" top="0.19685039370078741" bottom="1.1811023622047245" header="0.31496062992125984" footer="0.31496062992125984"/>
  <pageSetup paperSize="9" scale="73" fitToHeight="0" orientation="landscape" verticalDpi="4294967295" r:id="rId1"/>
  <headerFooter>
    <oddFooter>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10</vt:i4>
      </vt:variant>
    </vt:vector>
  </HeadingPairs>
  <TitlesOfParts>
    <vt:vector size="16" baseType="lpstr">
      <vt:lpstr>Plan. Orçamentária</vt:lpstr>
      <vt:lpstr>Mem. Cálc. - P.O</vt:lpstr>
      <vt:lpstr>C.P.U.</vt:lpstr>
      <vt:lpstr>Memória de cálculo - Composição</vt:lpstr>
      <vt:lpstr>BDI</vt:lpstr>
      <vt:lpstr>Cronograma Fis-Fin</vt:lpstr>
      <vt:lpstr>BDI!Area_de_impressao</vt:lpstr>
      <vt:lpstr>C.P.U.!Area_de_impressao</vt:lpstr>
      <vt:lpstr>'Cronograma Fis-Fin'!Area_de_impressao</vt:lpstr>
      <vt:lpstr>'Mem. Cálc. - P.O'!Area_de_impressao</vt:lpstr>
      <vt:lpstr>'Memória de cálculo - Composição'!Area_de_impressao</vt:lpstr>
      <vt:lpstr>'Plan. Orçamentária'!Area_de_impressao</vt:lpstr>
      <vt:lpstr>C.P.U.!Titulos_de_impressao</vt:lpstr>
      <vt:lpstr>'Cronograma Fis-Fin'!Titulos_de_impressao</vt:lpstr>
      <vt:lpstr>'Mem. Cálc. - P.O'!Titulos_de_impressao</vt:lpstr>
      <vt:lpstr>'Plan. Orçamentária'!Titulos_de_impressao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2022-11-22T18:49:11Z</dcterms:modified>
</cp:coreProperties>
</file>