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646"/>
  </bookViews>
  <sheets>
    <sheet name="Plan. Orçamentária" sheetId="12" r:id="rId1"/>
    <sheet name="Mem. Cálc. - P.O" sheetId="13" r:id="rId2"/>
    <sheet name="C.P.U." sheetId="14" r:id="rId3"/>
    <sheet name="Memória de cálculo - Composição" sheetId="19" r:id="rId4"/>
    <sheet name="BDI" sheetId="18" r:id="rId5"/>
    <sheet name="Cronograma Fis-Fin" sheetId="17" r:id="rId6"/>
  </sheets>
  <externalReferences>
    <externalReference r:id="rId7"/>
    <externalReference r:id="rId8"/>
    <externalReference r:id="rId9"/>
  </externalReferences>
  <definedNames>
    <definedName name="_xlnm.Print_Area" localSheetId="4">BDI!$A$1:$J$52</definedName>
    <definedName name="_xlnm.Print_Area" localSheetId="2">'C.P.U.'!$A$1:$I$39</definedName>
    <definedName name="_xlnm.Print_Area" localSheetId="5">'Cronograma Fis-Fin'!$A$1:$P$24</definedName>
    <definedName name="_xlnm.Print_Area" localSheetId="1">'Mem. Cálc. - P.O'!$A$1:$J$319</definedName>
    <definedName name="_xlnm.Print_Area" localSheetId="3">'Memória de cálculo - Composição'!$A$1:$I$62</definedName>
    <definedName name="_xlnm.Print_Area" localSheetId="0">'Plan. Orçamentária'!$A$1:$I$64</definedName>
    <definedName name="_xlnm.Database">#REF!</definedName>
    <definedName name="DESONERACAO" hidden="1">IF(OR(Import.Desoneracao="DESONERADO",Import.Desoneracao="SIM"),"SIM","NÃO")</definedName>
    <definedName name="Import.Desoneracao" hidden="1">OFFSET([1]DADOS!$G$18,0,-1)</definedName>
    <definedName name="_xlnm.Print_Titles" localSheetId="2">'C.P.U.'!$1:$8</definedName>
    <definedName name="_xlnm.Print_Titles" localSheetId="5">'Cronograma Fis-Fin'!$1:$10</definedName>
    <definedName name="_xlnm.Print_Titles" localSheetId="1">'Mem. Cálc. - P.O'!$1:$8</definedName>
    <definedName name="_xlnm.Print_Titles" localSheetId="0">'Plan. Orçamentária'!$1:$9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77" i="13" l="1"/>
  <c r="J76" i="13"/>
  <c r="I14" i="17" l="1"/>
  <c r="J14" i="17"/>
  <c r="I20" i="17"/>
  <c r="J20" i="17"/>
  <c r="I12" i="17"/>
  <c r="J318" i="13"/>
  <c r="J316" i="13"/>
  <c r="J315" i="13"/>
  <c r="J305" i="13"/>
  <c r="J307" i="13"/>
  <c r="J304" i="13"/>
  <c r="J302" i="13"/>
  <c r="J288" i="13"/>
  <c r="J289" i="13"/>
  <c r="J290" i="13"/>
  <c r="J291" i="13"/>
  <c r="J292" i="13"/>
  <c r="J293" i="13"/>
  <c r="J294" i="13"/>
  <c r="J295" i="13"/>
  <c r="J296" i="13"/>
  <c r="J287" i="13"/>
  <c r="J283" i="13"/>
  <c r="J284" i="13"/>
  <c r="J285" i="13"/>
  <c r="J282" i="13"/>
  <c r="J274" i="13"/>
  <c r="J272" i="13"/>
  <c r="J253" i="13"/>
  <c r="J251" i="13"/>
  <c r="J250" i="13"/>
  <c r="J241" i="13"/>
  <c r="J239" i="13"/>
  <c r="A218" i="13"/>
  <c r="B215" i="13"/>
  <c r="A215" i="13"/>
  <c r="J217" i="13"/>
  <c r="J218" i="13" s="1"/>
  <c r="E40" i="12" s="1"/>
  <c r="J231" i="13"/>
  <c r="J222" i="13"/>
  <c r="E212" i="13" l="1"/>
  <c r="F212" i="13" s="1"/>
  <c r="E211" i="13"/>
  <c r="F211" i="13" s="1"/>
  <c r="E210" i="13"/>
  <c r="F210" i="13" s="1"/>
  <c r="E209" i="13"/>
  <c r="F209" i="13" s="1"/>
  <c r="E208" i="13"/>
  <c r="F208" i="13" s="1"/>
  <c r="E207" i="13"/>
  <c r="F207" i="13" s="1"/>
  <c r="E204" i="13"/>
  <c r="F204" i="13" s="1"/>
  <c r="E203" i="13"/>
  <c r="F203" i="13" s="1"/>
  <c r="E202" i="13"/>
  <c r="F202" i="13" s="1"/>
  <c r="E201" i="13"/>
  <c r="F201" i="13" s="1"/>
  <c r="E200" i="13"/>
  <c r="F200" i="13" s="1"/>
  <c r="E199" i="13"/>
  <c r="F199" i="13" s="1"/>
  <c r="E198" i="13"/>
  <c r="F198" i="13" s="1"/>
  <c r="E197" i="13"/>
  <c r="F197" i="13" s="1"/>
  <c r="E195" i="13"/>
  <c r="F195" i="13" s="1"/>
  <c r="J177" i="13"/>
  <c r="J178" i="13"/>
  <c r="J179" i="13"/>
  <c r="J180" i="13"/>
  <c r="J181" i="13"/>
  <c r="J176" i="13"/>
  <c r="A182" i="13"/>
  <c r="B174" i="13"/>
  <c r="A174" i="13"/>
  <c r="J166" i="13"/>
  <c r="J167" i="13"/>
  <c r="J168" i="13"/>
  <c r="J169" i="13"/>
  <c r="J170" i="13"/>
  <c r="J171" i="13"/>
  <c r="J172" i="13"/>
  <c r="J165" i="13"/>
  <c r="D163" i="13"/>
  <c r="J163" i="13" s="1"/>
  <c r="J147" i="13"/>
  <c r="J148" i="13"/>
  <c r="J149" i="13"/>
  <c r="J150" i="13"/>
  <c r="J151" i="13"/>
  <c r="J146" i="13"/>
  <c r="A152" i="13"/>
  <c r="B143" i="13"/>
  <c r="A143" i="13"/>
  <c r="J129" i="13"/>
  <c r="J130" i="13"/>
  <c r="J131" i="13"/>
  <c r="J132" i="13"/>
  <c r="J133" i="13"/>
  <c r="J134" i="13"/>
  <c r="J135" i="13"/>
  <c r="J136" i="13"/>
  <c r="J137" i="13"/>
  <c r="J138" i="13"/>
  <c r="J139" i="13"/>
  <c r="J140" i="13"/>
  <c r="J141" i="13"/>
  <c r="J128" i="13"/>
  <c r="J126" i="13"/>
  <c r="J110" i="13"/>
  <c r="J111" i="13"/>
  <c r="J112" i="13"/>
  <c r="J113" i="13"/>
  <c r="J114" i="13"/>
  <c r="J109" i="13"/>
  <c r="A115" i="13"/>
  <c r="B106" i="13"/>
  <c r="A106" i="13"/>
  <c r="A84" i="13"/>
  <c r="B79" i="13"/>
  <c r="A79" i="13"/>
  <c r="J83" i="13"/>
  <c r="J82" i="13"/>
  <c r="J67" i="13"/>
  <c r="J68" i="13"/>
  <c r="J69" i="13"/>
  <c r="J70" i="13"/>
  <c r="J66" i="13"/>
  <c r="A78" i="13"/>
  <c r="B73" i="13"/>
  <c r="A73" i="13"/>
  <c r="A105" i="13"/>
  <c r="J98" i="13"/>
  <c r="J99" i="13"/>
  <c r="J100" i="13"/>
  <c r="J101" i="13"/>
  <c r="J102" i="13"/>
  <c r="J103" i="13"/>
  <c r="J104" i="13"/>
  <c r="J97" i="13"/>
  <c r="F95" i="13"/>
  <c r="D95" i="13"/>
  <c r="J62" i="13"/>
  <c r="J182" i="13" l="1"/>
  <c r="E38" i="12" s="1"/>
  <c r="G197" i="13"/>
  <c r="F213" i="13"/>
  <c r="F205" i="13"/>
  <c r="J197" i="13" s="1"/>
  <c r="J152" i="13"/>
  <c r="E36" i="12" s="1"/>
  <c r="J115" i="13"/>
  <c r="J95" i="13"/>
  <c r="G195" i="13" s="1"/>
  <c r="J195" i="13" s="1"/>
  <c r="J84" i="13"/>
  <c r="E32" i="12" s="1"/>
  <c r="J78" i="13"/>
  <c r="E31" i="12" s="1"/>
  <c r="G207" i="13" l="1"/>
  <c r="J207" i="13" s="1"/>
  <c r="E34" i="12"/>
  <c r="D270" i="13" l="1"/>
  <c r="J270" i="13" s="1"/>
  <c r="J275" i="13" s="1"/>
  <c r="J158" i="13" l="1"/>
  <c r="J159" i="13"/>
  <c r="J6" i="18" l="1"/>
  <c r="B6" i="18"/>
  <c r="J25" i="18"/>
  <c r="J28" i="18" s="1"/>
  <c r="H6" i="12" s="1"/>
  <c r="H40" i="12" s="1"/>
  <c r="I40" i="12" s="1"/>
  <c r="A6" i="18"/>
  <c r="A5" i="18"/>
  <c r="A4" i="18"/>
  <c r="E187" i="13"/>
  <c r="F187" i="13" s="1"/>
  <c r="H261" i="13"/>
  <c r="E188" i="13"/>
  <c r="F188" i="13" s="1"/>
  <c r="E189" i="13"/>
  <c r="F189" i="13" s="1"/>
  <c r="E190" i="13"/>
  <c r="F190" i="13" s="1"/>
  <c r="E191" i="13"/>
  <c r="F191" i="13" s="1"/>
  <c r="E192" i="13"/>
  <c r="F192" i="13" s="1"/>
  <c r="H36" i="12" l="1"/>
  <c r="I36" i="12" s="1"/>
  <c r="H38" i="12"/>
  <c r="I38" i="12" s="1"/>
  <c r="H34" i="12"/>
  <c r="I34" i="12" s="1"/>
  <c r="H32" i="12"/>
  <c r="I32" i="12" s="1"/>
  <c r="H31" i="12"/>
  <c r="I31" i="12" s="1"/>
  <c r="F193" i="13"/>
  <c r="J27" i="18"/>
  <c r="J122" i="13"/>
  <c r="J92" i="13"/>
  <c r="J93" i="13"/>
  <c r="J17" i="13" l="1"/>
  <c r="J237" i="13" l="1"/>
  <c r="J229" i="13"/>
  <c r="J228" i="13"/>
  <c r="B59" i="19"/>
  <c r="B55" i="19"/>
  <c r="B50" i="19"/>
  <c r="B46" i="19"/>
  <c r="B41" i="19"/>
  <c r="A37" i="19"/>
  <c r="A36" i="19"/>
  <c r="A62" i="19"/>
  <c r="I61" i="19"/>
  <c r="I62" i="19" s="1"/>
  <c r="G38" i="14" s="1"/>
  <c r="I38" i="14" s="1"/>
  <c r="A58" i="19"/>
  <c r="I57" i="19"/>
  <c r="I58" i="19" s="1"/>
  <c r="G37" i="14" s="1"/>
  <c r="I37" i="14" s="1"/>
  <c r="A54" i="19"/>
  <c r="I53" i="19"/>
  <c r="I52" i="19"/>
  <c r="A49" i="19"/>
  <c r="I48" i="19"/>
  <c r="I49" i="19" s="1"/>
  <c r="G35" i="14" s="1"/>
  <c r="I35" i="14" s="1"/>
  <c r="A45" i="19"/>
  <c r="I44" i="19"/>
  <c r="I43" i="19"/>
  <c r="A40" i="19"/>
  <c r="I39" i="19"/>
  <c r="I40" i="19" s="1"/>
  <c r="G32" i="14" s="1"/>
  <c r="A33" i="14"/>
  <c r="A41" i="19" s="1"/>
  <c r="A34" i="14"/>
  <c r="A35" i="14"/>
  <c r="A46" i="19" s="1"/>
  <c r="A36" i="14"/>
  <c r="A50" i="19" s="1"/>
  <c r="A37" i="14"/>
  <c r="A55" i="19" s="1"/>
  <c r="A38" i="14"/>
  <c r="A59" i="19" s="1"/>
  <c r="A32" i="14"/>
  <c r="B30" i="14"/>
  <c r="B36" i="19" s="1"/>
  <c r="A39" i="14"/>
  <c r="I34" i="14"/>
  <c r="F32" i="14"/>
  <c r="E32" i="14"/>
  <c r="B37" i="19" s="1"/>
  <c r="C32" i="14"/>
  <c r="B224" i="13"/>
  <c r="A224" i="13"/>
  <c r="A232" i="13"/>
  <c r="J227" i="13"/>
  <c r="J91" i="13"/>
  <c r="J90" i="13"/>
  <c r="J89" i="13"/>
  <c r="J124" i="13"/>
  <c r="J123" i="13"/>
  <c r="J121" i="13"/>
  <c r="J120" i="13"/>
  <c r="J119" i="13"/>
  <c r="A18" i="13"/>
  <c r="B6" i="13"/>
  <c r="J232" i="13" l="1"/>
  <c r="E42" i="12" s="1"/>
  <c r="J142" i="13"/>
  <c r="I54" i="19"/>
  <c r="G36" i="14" s="1"/>
  <c r="I36" i="14" s="1"/>
  <c r="I45" i="19"/>
  <c r="G33" i="14" s="1"/>
  <c r="I33" i="14" s="1"/>
  <c r="J160" i="13" l="1"/>
  <c r="J161" i="13"/>
  <c r="I27" i="14" l="1"/>
  <c r="C11" i="14"/>
  <c r="A12" i="14"/>
  <c r="A13" i="14"/>
  <c r="A14" i="14"/>
  <c r="A19" i="19" s="1"/>
  <c r="A15" i="14"/>
  <c r="A23" i="19" s="1"/>
  <c r="A16" i="14"/>
  <c r="A28" i="19" s="1"/>
  <c r="A17" i="14"/>
  <c r="A32" i="19" s="1"/>
  <c r="A11" i="14"/>
  <c r="A10" i="19"/>
  <c r="A23" i="14"/>
  <c r="A24" i="14"/>
  <c r="A25" i="14"/>
  <c r="A26" i="14"/>
  <c r="A27" i="14"/>
  <c r="A28" i="14"/>
  <c r="A22" i="14"/>
  <c r="A29" i="14"/>
  <c r="I28" i="14"/>
  <c r="I26" i="14"/>
  <c r="I25" i="14"/>
  <c r="I24" i="14"/>
  <c r="I23" i="14"/>
  <c r="I22" i="14"/>
  <c r="B32" i="19"/>
  <c r="B28" i="19"/>
  <c r="B23" i="19"/>
  <c r="B19" i="19"/>
  <c r="B14" i="19"/>
  <c r="A14" i="19"/>
  <c r="B10" i="19"/>
  <c r="A9" i="19"/>
  <c r="B9" i="19"/>
  <c r="G6" i="19"/>
  <c r="B6" i="19"/>
  <c r="A6" i="19"/>
  <c r="A5" i="19"/>
  <c r="A4" i="19"/>
  <c r="A35" i="19"/>
  <c r="I34" i="19"/>
  <c r="I35" i="19" s="1"/>
  <c r="G17" i="14" s="1"/>
  <c r="I17" i="14" s="1"/>
  <c r="A31" i="19"/>
  <c r="I30" i="19"/>
  <c r="I31" i="19" s="1"/>
  <c r="G16" i="14" s="1"/>
  <c r="A27" i="19"/>
  <c r="I26" i="19"/>
  <c r="I25" i="19"/>
  <c r="A22" i="19"/>
  <c r="I21" i="19"/>
  <c r="I22" i="19" s="1"/>
  <c r="G14" i="14" s="1"/>
  <c r="I14" i="14" s="1"/>
  <c r="A18" i="19"/>
  <c r="I17" i="19"/>
  <c r="I16" i="19"/>
  <c r="A13" i="19"/>
  <c r="I12" i="19"/>
  <c r="I13" i="19" s="1"/>
  <c r="G11" i="14" s="1"/>
  <c r="G6" i="14"/>
  <c r="I13" i="14"/>
  <c r="A18" i="14"/>
  <c r="I27" i="19" l="1"/>
  <c r="G15" i="14" s="1"/>
  <c r="I15" i="14" s="1"/>
  <c r="I18" i="19"/>
  <c r="G12" i="14" s="1"/>
  <c r="I12" i="14" s="1"/>
  <c r="I29" i="14"/>
  <c r="I16" i="14"/>
  <c r="J221" i="13"/>
  <c r="J223" i="13" s="1"/>
  <c r="B219" i="13"/>
  <c r="A219" i="13"/>
  <c r="A223" i="13"/>
  <c r="I19" i="14" l="1"/>
  <c r="H32" i="14"/>
  <c r="I32" i="14" s="1"/>
  <c r="I39" i="14" s="1"/>
  <c r="E41" i="12"/>
  <c r="H11" i="14"/>
  <c r="I11" i="14" s="1"/>
  <c r="I18" i="14" s="1"/>
  <c r="I9" i="14" s="1"/>
  <c r="I30" i="14" l="1"/>
  <c r="A54" i="12"/>
  <c r="J313" i="13" l="1"/>
  <c r="J248" i="13"/>
  <c r="H42" i="12" l="1"/>
  <c r="I42" i="12" s="1"/>
  <c r="H6" i="19" l="1"/>
  <c r="H6" i="14"/>
  <c r="H41" i="12"/>
  <c r="I41" i="12" s="1"/>
  <c r="H49" i="12"/>
  <c r="H39" i="12"/>
  <c r="H53" i="12"/>
  <c r="H47" i="12"/>
  <c r="H37" i="12"/>
  <c r="H52" i="12"/>
  <c r="H35" i="12"/>
  <c r="H51" i="12"/>
  <c r="H33" i="12"/>
  <c r="H50" i="12"/>
  <c r="H43" i="12"/>
  <c r="H48" i="12"/>
  <c r="H46" i="12"/>
  <c r="B19" i="17"/>
  <c r="A21" i="17"/>
  <c r="A19" i="17"/>
  <c r="A17" i="17"/>
  <c r="B17" i="17"/>
  <c r="B15" i="17"/>
  <c r="B13" i="17"/>
  <c r="B11" i="17"/>
  <c r="A15" i="17"/>
  <c r="A13" i="17"/>
  <c r="A11" i="17"/>
  <c r="B21" i="17"/>
  <c r="A49" i="13"/>
  <c r="B54" i="13"/>
  <c r="A54" i="13"/>
  <c r="B50" i="13"/>
  <c r="A50" i="13"/>
  <c r="B46" i="13"/>
  <c r="A46" i="13"/>
  <c r="B42" i="13"/>
  <c r="A42" i="13"/>
  <c r="B36" i="13"/>
  <c r="B32" i="13"/>
  <c r="B28" i="13"/>
  <c r="B24" i="13"/>
  <c r="B20" i="13"/>
  <c r="B14" i="13"/>
  <c r="H10" i="13"/>
  <c r="B243" i="13"/>
  <c r="A243" i="13"/>
  <c r="B72" i="13"/>
  <c r="A72" i="13"/>
  <c r="B58" i="13"/>
  <c r="A58" i="13"/>
  <c r="B41" i="13"/>
  <c r="A41" i="13"/>
  <c r="I6" i="12"/>
  <c r="I6" i="14" l="1"/>
  <c r="I6" i="19"/>
  <c r="A19" i="12" l="1"/>
  <c r="A12" i="12"/>
  <c r="B6" i="14"/>
  <c r="A59" i="13"/>
  <c r="B59" i="13"/>
  <c r="J61" i="13"/>
  <c r="J63" i="13" s="1"/>
  <c r="A63" i="13"/>
  <c r="A64" i="13"/>
  <c r="B64" i="13"/>
  <c r="A71" i="13"/>
  <c r="J71" i="13" l="1"/>
  <c r="A57" i="13"/>
  <c r="A53" i="13"/>
  <c r="A45" i="13"/>
  <c r="A44" i="12" l="1"/>
  <c r="A15" i="12" l="1"/>
  <c r="A16" i="12"/>
  <c r="A17" i="12"/>
  <c r="A18" i="12"/>
  <c r="J157" i="13"/>
  <c r="J156" i="13"/>
  <c r="J173" i="13" s="1"/>
  <c r="J88" i="13" l="1"/>
  <c r="G187" i="13" s="1"/>
  <c r="J16" i="13"/>
  <c r="J18" i="13" s="1"/>
  <c r="J105" i="13" l="1"/>
  <c r="J187" i="13" s="1"/>
  <c r="J214" i="13" s="1"/>
  <c r="E11" i="12"/>
  <c r="N16" i="12"/>
  <c r="N15" i="12"/>
  <c r="N17" i="12" l="1"/>
  <c r="A319" i="13" l="1"/>
  <c r="B309" i="13"/>
  <c r="A309" i="13"/>
  <c r="A308" i="13"/>
  <c r="B298" i="13"/>
  <c r="A298" i="13"/>
  <c r="A297" i="13"/>
  <c r="B276" i="13"/>
  <c r="A276" i="13"/>
  <c r="A275" i="13"/>
  <c r="B267" i="13"/>
  <c r="A267" i="13"/>
  <c r="A266" i="13"/>
  <c r="B263" i="13"/>
  <c r="A263" i="13"/>
  <c r="A262" i="13"/>
  <c r="B259" i="13"/>
  <c r="A259" i="13"/>
  <c r="A258" i="13"/>
  <c r="B255" i="13"/>
  <c r="A255" i="13"/>
  <c r="E50" i="12" l="1"/>
  <c r="I50" i="12" s="1"/>
  <c r="J280" i="13"/>
  <c r="J279" i="13"/>
  <c r="J297" i="13" s="1"/>
  <c r="J56" i="13"/>
  <c r="J57" i="13" s="1"/>
  <c r="E24" i="12" s="1"/>
  <c r="J52" i="13"/>
  <c r="J53" i="13" s="1"/>
  <c r="E23" i="12" s="1"/>
  <c r="E28" i="12"/>
  <c r="H21" i="12" l="1"/>
  <c r="H24" i="12"/>
  <c r="I24" i="12" s="1"/>
  <c r="H23" i="12"/>
  <c r="I23" i="12" s="1"/>
  <c r="H22" i="12"/>
  <c r="E51" i="12"/>
  <c r="I51" i="12" s="1"/>
  <c r="E27" i="12"/>
  <c r="J48" i="13"/>
  <c r="J49" i="13" s="1"/>
  <c r="E22" i="12" s="1"/>
  <c r="J39" i="13"/>
  <c r="J38" i="13"/>
  <c r="J44" i="13"/>
  <c r="J45" i="13" s="1"/>
  <c r="E21" i="12" s="1"/>
  <c r="H15" i="12"/>
  <c r="H16" i="12"/>
  <c r="H17" i="12"/>
  <c r="H18" i="12"/>
  <c r="A40" i="13"/>
  <c r="A35" i="13"/>
  <c r="J34" i="13"/>
  <c r="J35" i="13" s="1"/>
  <c r="E17" i="12" s="1"/>
  <c r="A29" i="12"/>
  <c r="A25" i="12"/>
  <c r="H28" i="12"/>
  <c r="I28" i="12" s="1"/>
  <c r="H27" i="12"/>
  <c r="A32" i="13"/>
  <c r="A36" i="13"/>
  <c r="I22" i="12" l="1"/>
  <c r="I21" i="12"/>
  <c r="I25" i="12" s="1"/>
  <c r="I17" i="12"/>
  <c r="I27" i="12"/>
  <c r="I29" i="12" s="1"/>
  <c r="J40" i="13"/>
  <c r="E18" i="12" s="1"/>
  <c r="I18" i="12" s="1"/>
  <c r="A254" i="13"/>
  <c r="B244" i="13"/>
  <c r="J247" i="13"/>
  <c r="J254" i="13" s="1"/>
  <c r="J30" i="13"/>
  <c r="J31" i="13" s="1"/>
  <c r="E16" i="12" s="1"/>
  <c r="I16" i="12" s="1"/>
  <c r="J26" i="13"/>
  <c r="J27" i="13" s="1"/>
  <c r="E15" i="12" s="1"/>
  <c r="I15" i="12" s="1"/>
  <c r="J22" i="13"/>
  <c r="A244" i="13"/>
  <c r="H18" i="17" l="1"/>
  <c r="G18" i="17"/>
  <c r="J18" i="17"/>
  <c r="I18" i="17"/>
  <c r="J16" i="17"/>
  <c r="I16" i="17"/>
  <c r="G16" i="17"/>
  <c r="H16" i="17"/>
  <c r="G257" i="13"/>
  <c r="G265" i="13"/>
  <c r="H14" i="17"/>
  <c r="F18" i="17"/>
  <c r="R18" i="17" s="1"/>
  <c r="J23" i="13"/>
  <c r="E14" i="12" s="1"/>
  <c r="E33" i="12"/>
  <c r="E35" i="12"/>
  <c r="E37" i="12"/>
  <c r="A242" i="13"/>
  <c r="A214" i="13"/>
  <c r="I17" i="17" l="1"/>
  <c r="J17" i="17"/>
  <c r="S18" i="17"/>
  <c r="S16" i="17"/>
  <c r="F16" i="17"/>
  <c r="G15" i="17" s="1"/>
  <c r="F15" i="17" s="1"/>
  <c r="G17" i="17"/>
  <c r="J265" i="13"/>
  <c r="J266" i="13" s="1"/>
  <c r="E49" i="12" s="1"/>
  <c r="I49" i="12" s="1"/>
  <c r="J257" i="13"/>
  <c r="J258" i="13" s="1"/>
  <c r="E46" i="12"/>
  <c r="I46" i="12" s="1"/>
  <c r="J301" i="13"/>
  <c r="B233" i="13"/>
  <c r="A233" i="13"/>
  <c r="J236" i="13"/>
  <c r="J242" i="13" s="1"/>
  <c r="B183" i="13"/>
  <c r="A183" i="13"/>
  <c r="A173" i="13"/>
  <c r="A142" i="13"/>
  <c r="B153" i="13"/>
  <c r="A153" i="13"/>
  <c r="I37" i="12"/>
  <c r="B116" i="13"/>
  <c r="A116" i="13"/>
  <c r="I35" i="12"/>
  <c r="B85" i="13"/>
  <c r="A85" i="13"/>
  <c r="A31" i="13"/>
  <c r="A27" i="13"/>
  <c r="A24" i="13"/>
  <c r="A28" i="13"/>
  <c r="J15" i="17" l="1"/>
  <c r="H15" i="17"/>
  <c r="I15" i="17"/>
  <c r="J308" i="13"/>
  <c r="E52" i="12" s="1"/>
  <c r="I52" i="12" s="1"/>
  <c r="G261" i="13"/>
  <c r="J261" i="13" s="1"/>
  <c r="J262" i="13" s="1"/>
  <c r="E48" i="12" s="1"/>
  <c r="I48" i="12" s="1"/>
  <c r="J312" i="13"/>
  <c r="E47" i="12"/>
  <c r="I47" i="12" s="1"/>
  <c r="R16" i="17"/>
  <c r="T16" i="17" s="1"/>
  <c r="I33" i="12"/>
  <c r="E43" i="12"/>
  <c r="G22" i="17" l="1"/>
  <c r="J319" i="13"/>
  <c r="E53" i="12" s="1"/>
  <c r="I53" i="12" s="1"/>
  <c r="E39" i="12"/>
  <c r="I39" i="12" s="1"/>
  <c r="B6" i="17"/>
  <c r="P6" i="17"/>
  <c r="O6" i="17"/>
  <c r="N6" i="17"/>
  <c r="A6" i="17"/>
  <c r="A5" i="17"/>
  <c r="A4" i="17"/>
  <c r="I54" i="12" l="1"/>
  <c r="F22" i="17" s="1"/>
  <c r="I22" i="17"/>
  <c r="J22" i="17"/>
  <c r="J21" i="17" s="1"/>
  <c r="H22" i="17"/>
  <c r="G21" i="17"/>
  <c r="A14" i="12"/>
  <c r="A11" i="12"/>
  <c r="A14" i="13" s="1"/>
  <c r="H21" i="17" l="1"/>
  <c r="S22" i="17"/>
  <c r="I21" i="17"/>
  <c r="F21" i="17" s="1"/>
  <c r="I24" i="17"/>
  <c r="A23" i="13"/>
  <c r="A5" i="13" l="1"/>
  <c r="A6" i="14"/>
  <c r="A5" i="14"/>
  <c r="A4" i="14"/>
  <c r="A20" i="13"/>
  <c r="B19" i="13"/>
  <c r="A19" i="13"/>
  <c r="H14" i="12"/>
  <c r="I14" i="12" s="1"/>
  <c r="I19" i="12" s="1"/>
  <c r="B9" i="13"/>
  <c r="A9" i="13"/>
  <c r="J6" i="13"/>
  <c r="I6" i="13"/>
  <c r="H6" i="13"/>
  <c r="A6" i="13"/>
  <c r="A4" i="13"/>
  <c r="F14" i="17" l="1"/>
  <c r="G14" i="17"/>
  <c r="I43" i="12"/>
  <c r="I44" i="12" s="1"/>
  <c r="H20" i="17" l="1"/>
  <c r="G20" i="17"/>
  <c r="J13" i="17"/>
  <c r="S14" i="17"/>
  <c r="H13" i="17"/>
  <c r="I13" i="17"/>
  <c r="G13" i="17"/>
  <c r="F13" i="17" s="1"/>
  <c r="R22" i="17"/>
  <c r="H24" i="17" l="1"/>
  <c r="S20" i="17"/>
  <c r="D13" i="13"/>
  <c r="F20" i="17"/>
  <c r="H19" i="17" s="1"/>
  <c r="I19" i="17" l="1"/>
  <c r="J19" i="17"/>
  <c r="G19" i="17"/>
  <c r="R20" i="17"/>
  <c r="T20" i="17" s="1"/>
  <c r="F13" i="13"/>
  <c r="H13" i="13" s="1"/>
  <c r="F19" i="17" l="1"/>
  <c r="H11" i="12" l="1"/>
  <c r="I11" i="12" s="1"/>
  <c r="R14" i="17"/>
  <c r="I12" i="12" l="1"/>
  <c r="G12" i="17"/>
  <c r="T14" i="17"/>
  <c r="I11" i="17" l="1"/>
  <c r="G24" i="17"/>
  <c r="J12" i="17"/>
  <c r="J24" i="17" s="1"/>
  <c r="I55" i="12"/>
  <c r="S24" i="17" s="1"/>
  <c r="F12" i="17"/>
  <c r="J11" i="17" l="1"/>
  <c r="F24" i="17"/>
  <c r="J23" i="17" s="1"/>
  <c r="R12" i="17"/>
  <c r="S12" i="17"/>
  <c r="G23" i="17"/>
  <c r="H11" i="17"/>
  <c r="G11" i="17"/>
  <c r="F11" i="17" l="1"/>
  <c r="I23" i="17"/>
  <c r="R24" i="17"/>
  <c r="T24" i="17" s="1"/>
  <c r="H23" i="17"/>
  <c r="T22" i="17"/>
  <c r="F23" i="17" l="1"/>
  <c r="R23" i="17" s="1"/>
  <c r="S23" i="17"/>
  <c r="T12" i="17"/>
  <c r="T18" i="17"/>
  <c r="H17" i="17"/>
  <c r="F17" i="17" s="1"/>
  <c r="T23" i="17" l="1"/>
</calcChain>
</file>

<file path=xl/sharedStrings.xml><?xml version="1.0" encoding="utf-8"?>
<sst xmlns="http://schemas.openxmlformats.org/spreadsheetml/2006/main" count="927" uniqueCount="308">
  <si>
    <t>OBRA POR EXECUÇÃO INDIRETA</t>
  </si>
  <si>
    <t>Objeto:</t>
  </si>
  <si>
    <t>BDI:</t>
  </si>
  <si>
    <t>PLANILHA ORÇAMENTÁRIA</t>
  </si>
  <si>
    <t>Item</t>
  </si>
  <si>
    <t>Preço Referência</t>
  </si>
  <si>
    <t>Descrição</t>
  </si>
  <si>
    <t>Qtde.</t>
  </si>
  <si>
    <t>Preço unitário sem BDI</t>
  </si>
  <si>
    <t>Preço unitário com BDI</t>
  </si>
  <si>
    <t>P. Total</t>
  </si>
  <si>
    <t>MEMÓRIA DE CÁLCULO</t>
  </si>
  <si>
    <t>Detalhe</t>
  </si>
  <si>
    <t>Extensão</t>
  </si>
  <si>
    <t>Largura</t>
  </si>
  <si>
    <t>Altura</t>
  </si>
  <si>
    <t>Quantidade</t>
  </si>
  <si>
    <t>Lados</t>
  </si>
  <si>
    <t>Área</t>
  </si>
  <si>
    <t>Total</t>
  </si>
  <si>
    <t>Unidade</t>
  </si>
  <si>
    <t>Coeficiente</t>
  </si>
  <si>
    <t>Custo direto da obra
(com BDI)</t>
  </si>
  <si>
    <t>Custo direto da obra
(sem BDI)</t>
  </si>
  <si>
    <t>Observações:</t>
  </si>
  <si>
    <r>
      <t xml:space="preserve">PREFEITURA MUNICIPAL
</t>
    </r>
    <r>
      <rPr>
        <b/>
        <sz val="11"/>
        <rFont val="Arial"/>
        <family val="2"/>
      </rPr>
      <t>Secretaria de Obras e Serviços Urbanos</t>
    </r>
  </si>
  <si>
    <t>Setor requisitante: Secretaria Municipal de Obras e Serviços Urbanos</t>
  </si>
  <si>
    <t>Dedução</t>
  </si>
  <si>
    <t>M2</t>
  </si>
  <si>
    <t>M3</t>
  </si>
  <si>
    <t>UN</t>
  </si>
  <si>
    <t>M</t>
  </si>
  <si>
    <t>KG</t>
  </si>
  <si>
    <t>H</t>
  </si>
  <si>
    <t>MOBILIZAÇÃO E DESMOBILIZAÇÃO</t>
  </si>
  <si>
    <t>VB</t>
  </si>
  <si>
    <t>CANTEIRO DE OBRAS</t>
  </si>
  <si>
    <t>COMPOSIÇÃO DE CUSTOS UNITÁRIOS</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</si>
  <si>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</si>
  <si>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7) Caso a Fiscalização Municipal entenda como inviável a execução de algum item previsto nesta planilha, a Prefeitura Municipal reserva-se o direito de realizar supressão total ou parcial do(s) mesmo(s), de acordo com os limites estabelecidos pela Lei nº 8.666/93.</t>
  </si>
  <si>
    <t>6) Os serviços deverão ser executados rigorosamente conforme Planilha Orçamentária, Especificação Técnica e Projetos.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</si>
  <si>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</si>
  <si>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</si>
  <si>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</si>
  <si>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</si>
  <si>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t>1) Os preços unitários da planilha são referenciais, limites máximos permitidos e correspondem ao custo total de cada serviço. Foram utilizados preços de referência com desoneração, conforme Lei 13.161/2015.</t>
  </si>
  <si>
    <t>Instruções:</t>
  </si>
  <si>
    <t>TOTAL</t>
  </si>
  <si>
    <t>PAVIMENTAÇÃO</t>
  </si>
  <si>
    <t>Área conforme levantamento topográfico</t>
  </si>
  <si>
    <t>CRONOGRAMA FÍSICO / FINANCEIRO</t>
  </si>
  <si>
    <t>ITEM</t>
  </si>
  <si>
    <t>FÍSICO/ FINANCEIRO</t>
  </si>
  <si>
    <t>TOTAL  ETAPAS</t>
  </si>
  <si>
    <t>MÊS 1</t>
  </si>
  <si>
    <t>MÊS 2</t>
  </si>
  <si>
    <t>MÊS 3</t>
  </si>
  <si>
    <t>MÊS 4</t>
  </si>
  <si>
    <t>MÊS 5</t>
  </si>
  <si>
    <t>MÊS 6</t>
  </si>
  <si>
    <t>MÊS 7</t>
  </si>
  <si>
    <t>MÊS 8</t>
  </si>
  <si>
    <t>MÊS 9</t>
  </si>
  <si>
    <t>MÊS 10</t>
  </si>
  <si>
    <t>Físico %</t>
  </si>
  <si>
    <t>Financeiro</t>
  </si>
  <si>
    <t>ED-16348</t>
  </si>
  <si>
    <t>MÊS</t>
  </si>
  <si>
    <t>DRENAGEM PLUVIAL</t>
  </si>
  <si>
    <t>Escavação mecanizada de vala, com profundidade até 3,00m, largura menor 0,8m em solos de 1ª categoria</t>
  </si>
  <si>
    <t>Tubo de concreto armado PA1, DN 400mm, junta rígida tipo ponta e bolsa, incluindo fornecimento, assentamento e rejuntamento</t>
  </si>
  <si>
    <t>Reaterro de vala com compactação mecânica através de placa vibratória</t>
  </si>
  <si>
    <t>Fonte</t>
  </si>
  <si>
    <t>-</t>
  </si>
  <si>
    <t>ED-16356</t>
  </si>
  <si>
    <t>Ligações provisórias para container tipo 1 (correspondente ao código ED-16348)</t>
  </si>
  <si>
    <t>Mobilização e desmobilização de container, inclusive instalação e transporte com caminhão guindauto (munck)</t>
  </si>
  <si>
    <t>ADMINISTRAÇAO LOCAL</t>
  </si>
  <si>
    <t>Encarregado geral com encargos complementares</t>
  </si>
  <si>
    <t>3.1</t>
  </si>
  <si>
    <t>SINALIZAÇÃO</t>
  </si>
  <si>
    <t>01 (um) banheiro químico durante o perído de execução da obra</t>
  </si>
  <si>
    <t>01 (um) container durante o período de execução da obra</t>
  </si>
  <si>
    <t>Ligações provisórias para 01 (um) container durante o período de execução da obra</t>
  </si>
  <si>
    <t>Mobilização de container</t>
  </si>
  <si>
    <t>Desmobilização de container</t>
  </si>
  <si>
    <t>Mês</t>
  </si>
  <si>
    <t>Quantidade
(horas/dia)</t>
  </si>
  <si>
    <t>Quantidade
(dia/mês)</t>
  </si>
  <si>
    <t>Quantidade (mês)</t>
  </si>
  <si>
    <t>Auxiliar de topógrafo com encargos complementares</t>
  </si>
  <si>
    <t>BDI</t>
  </si>
  <si>
    <t>Conforme legislação tributária municipal, definir estimativa de percentual da base de cálculo para o ISS:</t>
  </si>
  <si>
    <t>Sobre a base de cálculo, definir a respectiva alíquota do ISS (entre 2% e 5%):</t>
  </si>
  <si>
    <t>BDI 1</t>
  </si>
  <si>
    <t>TIPO DE OBRA</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</si>
  <si>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</si>
  <si>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</si>
  <si>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</si>
  <si>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</si>
  <si>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</si>
  <si>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</si>
  <si>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</si>
  <si>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</si>
  <si>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</si>
  <si>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</si>
  <si>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</si>
  <si>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</si>
  <si>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</si>
  <si>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</si>
  <si>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</si>
  <si>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</si>
  <si>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</si>
  <si>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</si>
  <si>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</si>
  <si>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4.1</t>
  </si>
  <si>
    <t>Demolição manual de pavimento poliédrica, inclusive afastamento</t>
  </si>
  <si>
    <t>Carga de material de qualquer natureza sobre caminhão basculante, de forma mecanizada</t>
  </si>
  <si>
    <t>M3XKM</t>
  </si>
  <si>
    <t>Quantitade</t>
  </si>
  <si>
    <t>Distância (km)</t>
  </si>
  <si>
    <t>Empolamento</t>
  </si>
  <si>
    <t xml:space="preserve">Carga de pedras poliédricas para transporte até o estoque da Secretaria de Obras </t>
  </si>
  <si>
    <t xml:space="preserve">Transporte de pedras poliédricas até o estoque da Secretaria de Obras </t>
  </si>
  <si>
    <t>Remoção de meio-fio pré-moldado de concreto, inclusive carga</t>
  </si>
  <si>
    <t>Demolição de meio fio existente danificado</t>
  </si>
  <si>
    <t>Meio-fio em concreto pré-fabricado Fck ≥ 15MPa, dimensões 80x13x10x35 cm (comprimento x face inferior x face superior x altura), para vias urbanas, inclusive escavação e reaterro</t>
  </si>
  <si>
    <t>4.2</t>
  </si>
  <si>
    <t>Volume</t>
  </si>
  <si>
    <t>Referência
coeficiente</t>
  </si>
  <si>
    <t>Referência
custo unitário</t>
  </si>
  <si>
    <t>Fonte
custo unitário</t>
  </si>
  <si>
    <t>Custo unitário
(R$)</t>
  </si>
  <si>
    <t>Custo total
(R$)</t>
  </si>
  <si>
    <t>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t>
  </si>
  <si>
    <t>Mobilização</t>
  </si>
  <si>
    <t>Dedução do volume ocupado pelos tubos</t>
  </si>
  <si>
    <t>Volume de escavação das valas</t>
  </si>
  <si>
    <t>Volume a ser deduzido</t>
  </si>
  <si>
    <t>Total a ser deduzido</t>
  </si>
  <si>
    <t>Locação de banheiro químico, dimensão (110x120x230)cm, linha padrão, contendo uma (1) pia/higienizador de mãos, inclusive manutenção e mobilização/desmobilização</t>
  </si>
  <si>
    <t>Locação de container com isolamento térmico, tipo 1, para escritório de obra/almoxarifado, com medidas referenciais de (6) metros de comprimentos, (2,3) metros de largura, (2,5) metros de altura útil interna, inclusive ar condicionado e ligações elétricas internas</t>
  </si>
  <si>
    <t>Pavimentação de via em piso de concreto pré-moldado intertravado sobre camada de assentamento em pó de pedra, espessura de 6 cm, incluindo fornecimento e transporte de todos os materiais</t>
  </si>
  <si>
    <t>Sarjeta em concreto usinado, Fck ≥ 35 MPa, 30cm de base x 10cm de altura, incluindo formas e compactação do terreno</t>
  </si>
  <si>
    <t>Preparo do fundo de vala com largura menor que 1,5 m</t>
  </si>
  <si>
    <t>Cone para sinalização/isolamento de áreas, altura 75 cm, inclusive fornecimento e movimentação</t>
  </si>
  <si>
    <t>Placa de aço carbono com película refletiva grau técnico tipo I da ABNT, placa retangular (execução, incluindo fornecimento e transporte de todos os materiais, inclusive poste de sustentação)</t>
  </si>
  <si>
    <t>RO-42193</t>
  </si>
  <si>
    <t>5.1</t>
  </si>
  <si>
    <t>5.2</t>
  </si>
  <si>
    <t>5.3</t>
  </si>
  <si>
    <t>5.4</t>
  </si>
  <si>
    <t>5.5</t>
  </si>
  <si>
    <t>5.6</t>
  </si>
  <si>
    <t>6.1</t>
  </si>
  <si>
    <t>6.2</t>
  </si>
  <si>
    <t>6.3</t>
  </si>
  <si>
    <t>6.4</t>
  </si>
  <si>
    <t>6.5</t>
  </si>
  <si>
    <t>6.6</t>
  </si>
  <si>
    <t>6.7</t>
  </si>
  <si>
    <t>6.8</t>
  </si>
  <si>
    <t>Regularização e compactação de subleito de solo predominantemente argiloso</t>
  </si>
  <si>
    <t>Fornecimento e colocação de placa de obra em chapa galvanizada (3,00 x 1,50m) - em chapa galvanizada 0,26 afixadas com rebites 540 e parafusos 3/8, em estrutura metálica viga u 2" enrijecida com metalon 20 x 20, suporte em eucalipto autoclavado pintadas</t>
  </si>
  <si>
    <t>EVENTO</t>
  </si>
  <si>
    <t>ED-50152</t>
  </si>
  <si>
    <t>ED-50155</t>
  </si>
  <si>
    <t>ED-50137</t>
  </si>
  <si>
    <t>ED-27006</t>
  </si>
  <si>
    <t>ED-48549</t>
  </si>
  <si>
    <t>ED-48490</t>
  </si>
  <si>
    <t>ED-51132</t>
  </si>
  <si>
    <t>ED-48472</t>
  </si>
  <si>
    <t>SETOP
(JUN/2022)</t>
  </si>
  <si>
    <t>3.2</t>
  </si>
  <si>
    <t>3.3</t>
  </si>
  <si>
    <t>3.4</t>
  </si>
  <si>
    <t>Engenheiro/Arquiteto Junior</t>
  </si>
  <si>
    <t>ED-21776</t>
  </si>
  <si>
    <t>Topografo com encargos complementares</t>
  </si>
  <si>
    <t>CO-27348</t>
  </si>
  <si>
    <t>2° Trecho</t>
  </si>
  <si>
    <t>1° Trecho</t>
  </si>
  <si>
    <t>SINAPI
(OUT/2022)</t>
  </si>
  <si>
    <t>5.7</t>
  </si>
  <si>
    <t>COMP-PMNE/MG</t>
  </si>
  <si>
    <t>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t>
  </si>
  <si>
    <t>Descrição do insumo / serviço</t>
  </si>
  <si>
    <t>Execução de radier, espessura de 15 cm, Fck = 30 MPa, com uso de formas em madeira serrada inclusive execução de lastro com material granular (pedra britada n.2), escavação manual e compactação mecânica de solo</t>
  </si>
  <si>
    <t>Corte e dobra de aço CA-50, diâmetro de 10,0 mm (0,617kg/m), utilizado em estrutura diversas (Armadura positiva e negativa em duas direções para radier)</t>
  </si>
  <si>
    <t>Base para poço de visita retangular para drenagem, em alvenaria com blocos de concreto, dimensões internas = 1,00 x 1,00 m, profundidade = 1,50, excluindo tampão</t>
  </si>
  <si>
    <t>Confecção de tampa em concreto armado, com armadura de ø 10,00 mm em duas direções, para poço de visita, Fck ≥ 35 MPa, inclusive lançamento de concreto, adensamento com vibrador de imersão, acabamento e formas</t>
  </si>
  <si>
    <t>Corte e dobra de aço CA-50, diâmetro de 10,0 mm (0,617kg/m), utilizado em estrutura diversas (Armadura positiva e negativa em duas direções para tampa de concreto</t>
  </si>
  <si>
    <t>Reboco, em argamassa traço 1:3 (Em volume de cimento e areia média úmida) para paredes internas, preparo mecânico com betoneira 600 L, aplicado manualmente em faces internas de paredes, espessura de 35 mm.</t>
  </si>
  <si>
    <t>Armação do sistema de paredes com uso de tela Q-196 (3,11 kg/m2)</t>
  </si>
  <si>
    <t>Meses</t>
  </si>
  <si>
    <t>Base para caixa de passagem</t>
  </si>
  <si>
    <t>Direção</t>
  </si>
  <si>
    <t>Massa nominal
(kg/m2)</t>
  </si>
  <si>
    <t>Radier - Positiva</t>
  </si>
  <si>
    <t>Radier - Negativa</t>
  </si>
  <si>
    <t xml:space="preserve">Tampa para caixa de passagem </t>
  </si>
  <si>
    <t>Massa nominal
(kg/m)</t>
  </si>
  <si>
    <t>Tampa de concreto - Positiva</t>
  </si>
  <si>
    <t>Tampa de concreto - Negativa</t>
  </si>
  <si>
    <t>Espessura</t>
  </si>
  <si>
    <t>Paredes internas</t>
  </si>
  <si>
    <t>Referência coeficiente</t>
  </si>
  <si>
    <t>Referência custo unitário</t>
  </si>
  <si>
    <t>Custo unitário (R$)</t>
  </si>
  <si>
    <t>Custo total (R$)</t>
  </si>
  <si>
    <t>Lastro com material granular (pedra britada n.1), aplicado em pisos ou radiers, espessura de *10 cm*</t>
  </si>
  <si>
    <t>Escavação manual de viga de borda para radier</t>
  </si>
  <si>
    <t>Compactação mecânica de solo para execução de radier, com compactador de solos a percussão</t>
  </si>
  <si>
    <t>Fabricação, montagem e desmontagem de forma para radier, em madeira serrada, 4 utilizações</t>
  </si>
  <si>
    <t>Camada separadora para execução de radier, em lona plástica</t>
  </si>
  <si>
    <t>Armação para execução de radier, com uso de tela Q-196 (3,11 kg/m2)</t>
  </si>
  <si>
    <r>
      <t xml:space="preserve">Concretagem de radier, piso ou laje sobre solo, Fck </t>
    </r>
    <r>
      <rPr>
        <sz val="10"/>
        <rFont val="Calibri"/>
        <family val="2"/>
      </rPr>
      <t>≥</t>
    </r>
    <r>
      <rPr>
        <sz val="10"/>
        <rFont val="Arial"/>
        <family val="2"/>
      </rPr>
      <t xml:space="preserve"> 30 MPa, para espessura de 15 cm - Lançamento, adensamento e acabamento</t>
    </r>
  </si>
  <si>
    <t>ED-49621</t>
  </si>
  <si>
    <t>Rua Arthur Vidigal</t>
  </si>
  <si>
    <t>Rua Gabriel Martins Quintão</t>
  </si>
  <si>
    <t>Avenida Nuno Lage</t>
  </si>
  <si>
    <t>Rua Antonio Muzzi</t>
  </si>
  <si>
    <t>Rua Custodio Costa Lage (Final da Rua)</t>
  </si>
  <si>
    <t>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t>
  </si>
  <si>
    <t>Base para poço de visita retangular para drenagem, em alvenaria com blocos de concreto, dimensões internas = 1x1 m, profundidade = 1,50 m, excluindo tampão. af_12/2020</t>
  </si>
  <si>
    <t>Corte e dobra de aço CA-50, diâmetro de 10,0 mm (0,617kg/m), utilizado em estrutura diversas (Armadura positiva e negativa em duas direções para tampa de concreto)</t>
  </si>
  <si>
    <t>1° Trecho: Caixa de Passagem 2</t>
  </si>
  <si>
    <t>1° Trecho: Caixa de Passagem 3</t>
  </si>
  <si>
    <t>01 (um) encarregado durante o perído de execução da obra</t>
  </si>
  <si>
    <t>01 (um) engenheiro durante o perído de execução da obra</t>
  </si>
  <si>
    <t>01 (um) topografo durante o perído de execução da obra</t>
  </si>
  <si>
    <t>01 (um) auxiliar de topografo durante o perído de execução da obra</t>
  </si>
  <si>
    <t>Desmobilização</t>
  </si>
  <si>
    <t>1º Trecho: Ramal BL&gt;CP2</t>
  </si>
  <si>
    <t>1º Trecho: Ramal BL0&gt;CP3</t>
  </si>
  <si>
    <t>2º Trecho: Ramal BL&gt;PV11</t>
  </si>
  <si>
    <t>2º Trecho: Ramal BL&gt;CP7</t>
  </si>
  <si>
    <t>Área =
πxr²</t>
  </si>
  <si>
    <t>2° Trecho: Caixa de Passagem 7</t>
  </si>
  <si>
    <t>ED-51130</t>
  </si>
  <si>
    <t>Transporte de material de qualquer natureza em caminhão basculante, DMT &gt; 5km, dentro do perímetro urbano</t>
  </si>
  <si>
    <t>Área a ser pavimentada</t>
  </si>
  <si>
    <t>COMP-001</t>
  </si>
  <si>
    <t>COMP-003</t>
  </si>
  <si>
    <t>Administração Central</t>
  </si>
  <si>
    <t>Seguro e Garantia</t>
  </si>
  <si>
    <t>Risco</t>
  </si>
  <si>
    <t>Despesas Financeiras</t>
  </si>
  <si>
    <t>Lucro</t>
  </si>
  <si>
    <t>Declaro para os devidos fins que, conforme legislação tributária municipal, a base de cálculo deste tipo de obra corresponde à 90%, com a respectiva alíquota de 5%.</t>
  </si>
  <si>
    <t>Declaro para os devidos fins que o regime de Contribuição Previdenciária sobre a Receita Bruta adotado para elaboração do orçamento foi COM Desoneração, e que esta é a alternativa mais adequada para a Administração Pública.</t>
  </si>
  <si>
    <t>Contrução de rodovias e ferrovias</t>
  </si>
  <si>
    <t>2º Trecho: Rede Ø400mm PV6&gt;PV11</t>
  </si>
  <si>
    <t>2º Trecho: Rede Ø400mm PV11&gt;CP7</t>
  </si>
  <si>
    <t>Placa de identificação de obra</t>
  </si>
  <si>
    <t>Travamento de rua com meio fio</t>
  </si>
  <si>
    <t>Recomposição de meio-fio</t>
  </si>
  <si>
    <t>Placa de sinalização de advertência de obras em ambos os lados da Rua Antônio Muzzi</t>
  </si>
  <si>
    <t>Placa de sinalização de advertência de obras em ambos os lados da Rua Custódio Costa lage</t>
  </si>
  <si>
    <t xml:space="preserve">RUA CUSTÓDIO DA COSTA LAGE  </t>
  </si>
  <si>
    <t>RUA GABRIEL MARTINS QUINTÃO</t>
  </si>
  <si>
    <t>1º Trecho: Ramal BL &gt; CP4</t>
  </si>
  <si>
    <t>AVENIDA NUNO LAGE</t>
  </si>
  <si>
    <t>Ramal BL &gt; PV07</t>
  </si>
  <si>
    <t>Ramal BL &gt; PV08</t>
  </si>
  <si>
    <t>Ramal BL &gt; PV10</t>
  </si>
  <si>
    <t>Rede Ø400 - PV08 &gt; PV09</t>
  </si>
  <si>
    <t>Rede Ø400 - PV09 &gt; PV10</t>
  </si>
  <si>
    <t>5.8</t>
  </si>
  <si>
    <t>Escavação mecanizada de vala, com profundidade até 3,00m, largura de 0,8m a 1,5m, em solos de 1ª categoria</t>
  </si>
  <si>
    <t>ED-51105</t>
  </si>
  <si>
    <t>Escavação e carga mecanizada em material de 1ª categoria</t>
  </si>
  <si>
    <t>ED-51098</t>
  </si>
  <si>
    <t>Aterro compactado com rolo vibratório a 95% do P.N</t>
  </si>
  <si>
    <t>5.9</t>
  </si>
  <si>
    <t>5.10</t>
  </si>
  <si>
    <t>Rebaixamento de caixa de rua - PV08 &gt; PV09</t>
  </si>
  <si>
    <t>Rebaixamento de caixa de rua - PV09 &gt; PV10</t>
  </si>
  <si>
    <t>Rede Ø600 - Ala de rede &gt; PV4</t>
  </si>
  <si>
    <t xml:space="preserve">Rede Ø600 - PV4 &gt; CP06 </t>
  </si>
  <si>
    <t>Rede Ø600 - CP06 &gt; PV05</t>
  </si>
  <si>
    <t>Rede Ø600 - PV05 &gt; PV06</t>
  </si>
  <si>
    <t>Rede Ø600 - PV06 &gt; PV07</t>
  </si>
  <si>
    <t>Rede Ø600 - PV07 &gt; PV08</t>
  </si>
  <si>
    <t>Berço em concreto não estrutural, preparado em obra com betoneira, Fck ≥ 15MPa, inclusive lançamento, adensamento e acabamento</t>
  </si>
  <si>
    <t>5.11</t>
  </si>
  <si>
    <t>Tubo de concreto armado PA1, DN 600mm, junta rígida tipo ponta e bolsa, incluindo fornecimento, assentamento e rejuntamento</t>
  </si>
  <si>
    <t>5.12</t>
  </si>
  <si>
    <t>Rua Custódio Costa Lage - 2º Trecho: PV11</t>
  </si>
  <si>
    <t xml:space="preserve">Av. Nuno Lage - PV </t>
  </si>
  <si>
    <t>Caixa de passagem 6</t>
  </si>
  <si>
    <t>5.13</t>
  </si>
  <si>
    <t>ED-48540</t>
  </si>
  <si>
    <t>Ala de rede tubular DN 600, exclusive bota fora</t>
  </si>
  <si>
    <t xml:space="preserve">Av. Nuno Lage </t>
  </si>
  <si>
    <t>Boca de lobo</t>
  </si>
  <si>
    <t>Boca de lobo - 1º Trecho</t>
  </si>
  <si>
    <t>Boca de lobo - 2º Trecho</t>
  </si>
  <si>
    <t>1º Trecho - Área conforme levantamento topográfico</t>
  </si>
  <si>
    <t>2º Trecho - Área conforme levantamento topográfico</t>
  </si>
  <si>
    <t>Recomposição de meio fio  danificados</t>
  </si>
  <si>
    <t xml:space="preserve">Travamento de pavimento com meio fio </t>
  </si>
  <si>
    <t>Travamento de rua com meio-fio</t>
  </si>
  <si>
    <t>Sarjeta</t>
  </si>
  <si>
    <t>Mobilização e desmobilização de obra em centro urbano ou região limítrofe com valor entre 1.000.000,01 e 3.000.000,00</t>
  </si>
  <si>
    <t>ED-50393</t>
  </si>
  <si>
    <t>LOTE 02 - Pavimentação de via em piso de concreto pré-moldado intertravado, tipo Sextavado - Rua Custódio Costa Lage, Rua Gabriel Martins Quintão e Avenida Nuno Lage, bairro Santa Maria - Nova Era/MG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</si>
</sst>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R$&quot;\ * #,##0.00_-;\-&quot;R$&quot;\ * #,##0.00_-;_-&quot;R$&quot;\ * &quot;-&quot;??_-;_-@_-"/>
    <numFmt numFmtId="43" formatCode="_-* #,##0.00_-;\-* #,##0.00_-;_-* &quot;-&quot;??_-;_-@_-"/>
    <numFmt numFmtId="164" formatCode="&quot;R$&quot;\ #,##0.00"/>
    <numFmt numFmtId="165" formatCode="0.00\ &quot;%&quot;"/>
    <numFmt numFmtId="166" formatCode="_(* #,##0.00_);_(* \(#,##0.00\);_(* &quot;-&quot;??_);_(@_)"/>
    <numFmt numFmtId="167" formatCode="00"/>
    <numFmt numFmtId="168" formatCode="000"/>
    <numFmt numFmtId="169" formatCode="#,##0.0000000"/>
    <numFmt numFmtId="170" formatCode="#,##0.00;#,##0.00;&quot;-&quot;_-;_-@_-"/>
    <numFmt numFmtId="171" formatCode="_(* #,##0_);_(* \(#,##0\);_(* &quot;-&quot;??_);_(@_)"/>
    <numFmt numFmtId="172" formatCode="#,##0.000"/>
    <numFmt numFmtId="173" formatCode="0.0000"/>
    <numFmt numFmtId="174" formatCode="0.000"/>
    <numFmt numFmtId="175" formatCode="#,##0.00000"/>
  </numFmts>
  <fonts count="20"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sz val="10"/>
      <name val="Calibri"/>
      <family val="2"/>
    </font>
    <font>
      <sz val="10.5"/>
      <name val="Arial"/>
      <family val="2"/>
    </font>
    <font>
      <b/>
      <sz val="10.5"/>
      <name val="Arial"/>
      <family val="2"/>
    </font>
    <font>
      <sz val="10"/>
      <color indexed="8"/>
      <name val="Arial"/>
      <family val="2"/>
    </font>
    <font>
      <b/>
      <sz val="11"/>
      <color theme="1"/>
      <name val="Calibri"/>
      <family val="2"/>
      <scheme val="minor"/>
    </font>
    <font>
      <sz val="9"/>
      <name val="Arial"/>
      <family val="2"/>
    </font>
    <font>
      <b/>
      <sz val="10"/>
      <color indexed="8"/>
      <name val="Arial"/>
      <family val="2"/>
    </font>
    <font>
      <sz val="10"/>
      <name val="Arial"/>
      <family val="2"/>
    </font>
    <font>
      <sz val="8"/>
      <name val="Calibri"/>
      <family val="2"/>
      <scheme val="minor"/>
    </font>
    <font>
      <sz val="11"/>
      <color rgb="FFFF0000"/>
      <name val="Arial"/>
      <family val="2"/>
    </font>
    <font>
      <sz val="10"/>
      <color theme="1"/>
      <name val="Arial"/>
      <family val="2"/>
    </font>
    <font>
      <sz val="10"/>
      <color rgb="FF0070C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9"/>
        <bgColor indexed="64"/>
      </patternFill>
    </fill>
    <fill>
      <patternFill patternType="solid">
        <fgColor theme="6" tint="0.79998168889431442"/>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43" fontId="1" fillId="0" borderId="0" applyFont="0" applyFill="0" applyBorder="0" applyAlignment="0" applyProtection="0"/>
    <xf numFmtId="0" fontId="4" fillId="0" borderId="0"/>
    <xf numFmtId="166" fontId="4"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5" fillId="0" borderId="0"/>
    <xf numFmtId="44" fontId="1" fillId="0" borderId="0" applyFont="0" applyFill="0" applyBorder="0" applyAlignment="0" applyProtection="0"/>
    <xf numFmtId="43" fontId="4" fillId="0" borderId="0" applyFont="0" applyFill="0" applyBorder="0" applyAlignment="0" applyProtection="0"/>
  </cellStyleXfs>
  <cellXfs count="309">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164" fontId="6" fillId="4" borderId="0" xfId="0" applyNumberFormat="1" applyFont="1" applyFill="1"/>
    <xf numFmtId="4" fontId="4"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167" fontId="6" fillId="4" borderId="0" xfId="0" applyNumberFormat="1" applyFont="1" applyFill="1" applyAlignment="1">
      <alignment horizontal="center" vertical="center"/>
    </xf>
    <xf numFmtId="166" fontId="4" fillId="3" borderId="1" xfId="3" applyFont="1" applyFill="1" applyBorder="1" applyAlignment="1">
      <alignment horizontal="center" vertical="center" wrapText="1"/>
    </xf>
    <xf numFmtId="0" fontId="6" fillId="4" borderId="0" xfId="0" applyFont="1" applyFill="1" applyAlignment="1">
      <alignment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4" borderId="0" xfId="0" applyFill="1"/>
    <xf numFmtId="0" fontId="0" fillId="4" borderId="0" xfId="0" applyFill="1" applyAlignment="1">
      <alignment horizontal="center"/>
    </xf>
    <xf numFmtId="16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4" borderId="0" xfId="0" applyFill="1" applyAlignment="1">
      <alignment wrapText="1"/>
    </xf>
    <xf numFmtId="0" fontId="0" fillId="4" borderId="0" xfId="0" applyFill="1" applyAlignment="1">
      <alignment horizontal="center" vertical="center"/>
    </xf>
    <xf numFmtId="49" fontId="11" fillId="6" borderId="1" xfId="2" applyNumberFormat="1" applyFont="1" applyFill="1" applyBorder="1" applyAlignment="1">
      <alignment horizontal="center" vertical="center" wrapText="1"/>
    </xf>
    <xf numFmtId="10" fontId="13" fillId="3" borderId="13" xfId="2" applyNumberFormat="1" applyFont="1" applyFill="1" applyBorder="1" applyAlignment="1">
      <alignment vertical="center" wrapText="1"/>
    </xf>
    <xf numFmtId="4" fontId="12" fillId="4" borderId="0" xfId="0" applyNumberFormat="1" applyFont="1" applyFill="1" applyAlignment="1">
      <alignment horizontal="center" vertical="center"/>
    </xf>
    <xf numFmtId="49" fontId="14" fillId="2" borderId="1" xfId="2"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1" fillId="7" borderId="1" xfId="2" applyNumberFormat="1" applyFont="1" applyFill="1" applyBorder="1" applyAlignment="1">
      <alignment horizontal="center" vertical="center" wrapText="1"/>
    </xf>
    <xf numFmtId="10" fontId="4" fillId="7" borderId="1" xfId="0" applyNumberFormat="1" applyFont="1" applyFill="1" applyBorder="1" applyAlignment="1">
      <alignment horizontal="center" vertical="center"/>
    </xf>
    <xf numFmtId="0" fontId="4" fillId="3" borderId="1" xfId="3" applyNumberFormat="1" applyFont="1" applyFill="1" applyBorder="1" applyAlignment="1">
      <alignment horizontal="justify" vertical="center" wrapText="1"/>
    </xf>
    <xf numFmtId="44" fontId="4" fillId="3" borderId="1" xfId="8" applyFont="1" applyFill="1" applyBorder="1" applyAlignment="1">
      <alignment horizontal="left" vertical="center" wrapText="1"/>
    </xf>
    <xf numFmtId="44" fontId="0" fillId="4" borderId="0" xfId="0" applyNumberFormat="1" applyFill="1"/>
    <xf numFmtId="0" fontId="17" fillId="4" borderId="0" xfId="0" applyFont="1" applyFill="1"/>
    <xf numFmtId="49" fontId="7" fillId="3" borderId="1" xfId="3" applyNumberFormat="1" applyFont="1" applyFill="1" applyBorder="1" applyAlignment="1">
      <alignment horizontal="center" vertical="center" wrapText="1"/>
    </xf>
    <xf numFmtId="0" fontId="5" fillId="2" borderId="1" xfId="3" applyNumberFormat="1" applyFont="1" applyFill="1" applyBorder="1" applyAlignment="1">
      <alignment horizontal="center" vertical="center"/>
    </xf>
    <xf numFmtId="171" fontId="5" fillId="2" borderId="1" xfId="3" applyNumberFormat="1" applyFont="1" applyFill="1" applyBorder="1" applyAlignment="1">
      <alignment horizontal="center" vertical="center" wrapText="1"/>
    </xf>
    <xf numFmtId="0" fontId="4" fillId="3" borderId="1" xfId="3"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7" fillId="3" borderId="1" xfId="9" applyNumberFormat="1" applyFont="1" applyFill="1" applyBorder="1" applyAlignment="1">
      <alignment horizontal="center" vertical="center" wrapText="1"/>
    </xf>
    <xf numFmtId="10" fontId="6" fillId="8" borderId="1" xfId="2" applyNumberFormat="1" applyFont="1" applyFill="1" applyBorder="1" applyAlignment="1" applyProtection="1">
      <alignment horizontal="center" vertical="center"/>
      <protection locked="0"/>
    </xf>
    <xf numFmtId="0" fontId="6" fillId="4" borderId="0" xfId="0" applyFont="1" applyFill="1" applyAlignment="1">
      <alignment horizontal="center" vertical="center" wrapText="1"/>
    </xf>
    <xf numFmtId="0" fontId="7" fillId="3" borderId="1" xfId="3"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 fontId="5" fillId="5" borderId="1" xfId="0" applyNumberFormat="1" applyFont="1" applyFill="1" applyBorder="1" applyAlignment="1">
      <alignment horizontal="center" vertical="center"/>
    </xf>
    <xf numFmtId="10" fontId="12" fillId="4" borderId="0" xfId="4" applyNumberFormat="1" applyFont="1" applyFill="1" applyAlignment="1">
      <alignment horizontal="center" vertical="center"/>
    </xf>
    <xf numFmtId="44" fontId="6" fillId="4" borderId="0" xfId="0" applyNumberFormat="1" applyFont="1" applyFill="1"/>
    <xf numFmtId="2" fontId="6" fillId="4" borderId="0" xfId="0" applyNumberFormat="1" applyFont="1" applyFill="1" applyAlignment="1">
      <alignment horizontal="center" vertical="center"/>
    </xf>
    <xf numFmtId="2" fontId="6" fillId="4" borderId="0" xfId="0" applyNumberFormat="1"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12" borderId="1" xfId="0" applyFont="1" applyFill="1" applyBorder="1" applyAlignment="1">
      <alignment horizontal="center" vertical="center"/>
    </xf>
    <xf numFmtId="44" fontId="5" fillId="5" borderId="1" xfId="8" applyFont="1" applyFill="1" applyBorder="1" applyAlignment="1">
      <alignment horizontal="center" vertical="center"/>
    </xf>
    <xf numFmtId="44" fontId="5" fillId="2" borderId="1" xfId="8" applyFont="1" applyFill="1" applyBorder="1" applyAlignment="1">
      <alignment horizontal="center" vertical="center"/>
    </xf>
    <xf numFmtId="2" fontId="5" fillId="2" borderId="1" xfId="0" applyNumberFormat="1" applyFont="1" applyFill="1" applyBorder="1" applyAlignment="1">
      <alignment horizontal="center" vertical="center" wrapText="1"/>
    </xf>
    <xf numFmtId="172" fontId="4" fillId="3" borderId="1"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xf>
    <xf numFmtId="4" fontId="0" fillId="4" borderId="0" xfId="0" applyNumberFormat="1" applyFill="1"/>
    <xf numFmtId="4" fontId="5" fillId="2" borderId="1" xfId="0" applyNumberFormat="1" applyFont="1" applyFill="1" applyBorder="1" applyAlignment="1">
      <alignment horizontal="center" vertical="center"/>
    </xf>
    <xf numFmtId="4" fontId="12" fillId="4" borderId="3" xfId="0" applyNumberFormat="1" applyFont="1" applyFill="1" applyBorder="1" applyAlignment="1">
      <alignment horizontal="center" vertical="center"/>
    </xf>
    <xf numFmtId="4" fontId="12" fillId="4" borderId="12" xfId="0" applyNumberFormat="1" applyFont="1" applyFill="1" applyBorder="1" applyAlignment="1">
      <alignment horizontal="center" vertical="center"/>
    </xf>
    <xf numFmtId="0" fontId="0" fillId="4" borderId="3" xfId="0" applyFill="1" applyBorder="1"/>
    <xf numFmtId="10" fontId="12" fillId="4" borderId="12" xfId="4" applyNumberFormat="1" applyFont="1" applyFill="1" applyBorder="1" applyAlignment="1">
      <alignment horizontal="center" vertical="center"/>
    </xf>
    <xf numFmtId="4" fontId="12" fillId="4" borderId="6" xfId="0" applyNumberFormat="1" applyFont="1" applyFill="1" applyBorder="1" applyAlignment="1">
      <alignment horizontal="center" vertical="center"/>
    </xf>
    <xf numFmtId="4" fontId="12" fillId="4" borderId="7" xfId="0" applyNumberFormat="1" applyFont="1" applyFill="1" applyBorder="1" applyAlignment="1">
      <alignment horizontal="center" vertical="center"/>
    </xf>
    <xf numFmtId="4" fontId="12" fillId="4" borderId="8" xfId="0" applyNumberFormat="1" applyFont="1" applyFill="1" applyBorder="1" applyAlignment="1">
      <alignment horizontal="center" vertical="center"/>
    </xf>
    <xf numFmtId="10" fontId="13" fillId="2" borderId="13" xfId="2" applyNumberFormat="1" applyFont="1" applyFill="1" applyBorder="1" applyAlignment="1">
      <alignment vertical="center" wrapText="1"/>
    </xf>
    <xf numFmtId="170" fontId="5" fillId="2" borderId="1" xfId="0" applyNumberFormat="1" applyFont="1" applyFill="1" applyBorder="1" applyAlignment="1">
      <alignment horizontal="center" vertical="center"/>
    </xf>
    <xf numFmtId="10" fontId="13" fillId="2" borderId="14" xfId="2" applyNumberFormat="1" applyFont="1" applyFill="1" applyBorder="1" applyAlignment="1">
      <alignment vertical="center" wrapText="1"/>
    </xf>
    <xf numFmtId="166" fontId="7" fillId="3" borderId="1" xfId="3" applyFont="1" applyFill="1" applyBorder="1" applyAlignment="1">
      <alignment horizontal="center" vertical="center" wrapText="1"/>
    </xf>
    <xf numFmtId="173" fontId="6" fillId="4" borderId="0" xfId="0" applyNumberFormat="1" applyFont="1" applyFill="1"/>
    <xf numFmtId="173" fontId="6" fillId="4" borderId="0" xfId="0" applyNumberFormat="1" applyFont="1" applyFill="1" applyAlignment="1">
      <alignment horizontal="center" vertical="center"/>
    </xf>
    <xf numFmtId="4" fontId="3" fillId="0" borderId="1" xfId="2" applyNumberFormat="1" applyFont="1" applyFill="1" applyBorder="1" applyAlignment="1" applyProtection="1">
      <alignment horizontal="center" vertical="center" wrapText="1"/>
    </xf>
    <xf numFmtId="0" fontId="6" fillId="0" borderId="1" xfId="2" applyFont="1" applyBorder="1" applyAlignment="1" applyProtection="1">
      <alignment horizontal="center" vertical="center"/>
    </xf>
    <xf numFmtId="10" fontId="6" fillId="0" borderId="1" xfId="2" applyNumberFormat="1"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10" fontId="3" fillId="10" borderId="1" xfId="2" applyNumberFormat="1" applyFont="1" applyFill="1" applyBorder="1" applyAlignment="1" applyProtection="1">
      <alignment horizontal="center" vertical="center"/>
    </xf>
    <xf numFmtId="0" fontId="4" fillId="4" borderId="0" xfId="0" applyFont="1" applyFill="1" applyAlignment="1">
      <alignment horizontal="center" vertical="center" wrapText="1"/>
    </xf>
    <xf numFmtId="2" fontId="18"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3"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2" fontId="0" fillId="3" borderId="1" xfId="0" applyNumberFormat="1" applyFill="1" applyBorder="1" applyAlignment="1">
      <alignment horizontal="center" vertical="center" wrapText="1"/>
    </xf>
    <xf numFmtId="2" fontId="5" fillId="3" borderId="1" xfId="0" applyNumberFormat="1" applyFont="1" applyFill="1" applyBorder="1" applyAlignment="1">
      <alignment horizontal="center" vertical="center" wrapText="1"/>
    </xf>
    <xf numFmtId="174" fontId="4" fillId="3"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19" fillId="4" borderId="0" xfId="0" applyFont="1" applyFill="1"/>
    <xf numFmtId="167" fontId="19" fillId="4" borderId="0" xfId="0" applyNumberFormat="1" applyFont="1" applyFill="1" applyAlignment="1">
      <alignment horizontal="center" vertical="center"/>
    </xf>
    <xf numFmtId="0" fontId="5" fillId="2" borderId="16" xfId="0" applyFont="1" applyFill="1" applyBorder="1" applyAlignment="1">
      <alignment horizontal="center" vertical="center" wrapText="1"/>
    </xf>
    <xf numFmtId="0" fontId="4" fillId="3" borderId="1" xfId="0" applyFont="1" applyFill="1" applyBorder="1" applyAlignment="1">
      <alignment vertical="center"/>
    </xf>
    <xf numFmtId="167" fontId="0" fillId="4" borderId="0" xfId="0" applyNumberFormat="1" applyFill="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66" fontId="6" fillId="4" borderId="0" xfId="3" applyFont="1" applyFill="1"/>
    <xf numFmtId="167" fontId="6" fillId="4" borderId="0" xfId="3" applyNumberFormat="1" applyFont="1" applyFill="1" applyAlignment="1">
      <alignment horizontal="center" vertical="center"/>
    </xf>
    <xf numFmtId="4" fontId="4" fillId="3" borderId="1" xfId="0" applyNumberFormat="1" applyFont="1" applyFill="1" applyBorder="1" applyAlignment="1">
      <alignment horizontal="center" vertical="center" wrapText="1"/>
    </xf>
    <xf numFmtId="0" fontId="0" fillId="4" borderId="0" xfId="0" applyFill="1" applyAlignment="1">
      <alignment horizontal="center" vertical="center" wrapText="1"/>
    </xf>
    <xf numFmtId="0" fontId="4" fillId="3" borderId="9" xfId="0" applyFont="1" applyFill="1" applyBorder="1" applyAlignment="1">
      <alignment horizontal="left" vertical="center" wrapText="1"/>
    </xf>
    <xf numFmtId="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2" applyFont="1" applyBorder="1" applyAlignment="1" applyProtection="1">
      <alignment horizontal="center" vertical="center"/>
    </xf>
    <xf numFmtId="0" fontId="6" fillId="10" borderId="1" xfId="2" applyFont="1" applyFill="1" applyBorder="1" applyAlignment="1" applyProtection="1">
      <alignment horizontal="center" vertical="center" wrapText="1"/>
    </xf>
    <xf numFmtId="175" fontId="4" fillId="3" borderId="1" xfId="0" applyNumberFormat="1" applyFont="1" applyFill="1" applyBorder="1" applyAlignment="1">
      <alignment horizontal="center" vertical="center"/>
    </xf>
    <xf numFmtId="4" fontId="4" fillId="0" borderId="1" xfId="0" applyNumberFormat="1" applyFont="1" applyBorder="1" applyAlignment="1">
      <alignment horizontal="center" vertical="center"/>
    </xf>
    <xf numFmtId="0" fontId="6" fillId="11" borderId="4" xfId="2" applyFont="1" applyFill="1" applyBorder="1" applyAlignment="1" applyProtection="1">
      <alignment horizontal="center" vertical="center" wrapText="1"/>
    </xf>
    <xf numFmtId="0" fontId="6" fillId="11" borderId="2" xfId="2" applyFont="1" applyFill="1" applyBorder="1" applyAlignment="1" applyProtection="1">
      <alignment horizontal="center" vertical="center" wrapText="1"/>
    </xf>
    <xf numFmtId="0" fontId="6" fillId="11" borderId="5" xfId="2"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2" fontId="18" fillId="0" borderId="16" xfId="0" applyNumberFormat="1"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4" fontId="4" fillId="3" borderId="16" xfId="0" applyNumberFormat="1"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4" fontId="18" fillId="3" borderId="1" xfId="0" applyNumberFormat="1" applyFont="1" applyFill="1" applyBorder="1" applyAlignment="1">
      <alignment horizontal="center" vertical="center"/>
    </xf>
    <xf numFmtId="0" fontId="5" fillId="2" borderId="1" xfId="3" applyNumberFormat="1" applyFont="1" applyFill="1" applyBorder="1" applyAlignment="1">
      <alignment horizontal="left" vertical="center" wrapText="1"/>
    </xf>
    <xf numFmtId="166" fontId="5" fillId="5" borderId="1" xfId="3" applyFont="1" applyFill="1" applyBorder="1" applyAlignment="1">
      <alignment horizontal="right" vertical="center" wrapText="1"/>
    </xf>
    <xf numFmtId="0" fontId="5" fillId="5" borderId="1" xfId="0" applyFont="1" applyFill="1" applyBorder="1" applyAlignment="1">
      <alignment horizontal="right" vertical="center"/>
    </xf>
    <xf numFmtId="0" fontId="3" fillId="2" borderId="1" xfId="0" applyFont="1" applyFill="1" applyBorder="1" applyAlignment="1">
      <alignment horizontal="center" vertical="center"/>
    </xf>
    <xf numFmtId="0" fontId="5" fillId="2" borderId="1" xfId="0" applyFont="1" applyFill="1" applyBorder="1" applyAlignment="1">
      <alignment horizontal="left" vertical="center"/>
    </xf>
    <xf numFmtId="0" fontId="2" fillId="3" borderId="1" xfId="3"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5" fillId="2" borderId="1" xfId="0" applyFont="1" applyFill="1" applyBorder="1" applyAlignment="1">
      <alignment horizontal="right" vertical="center"/>
    </xf>
    <xf numFmtId="0" fontId="10" fillId="3" borderId="4" xfId="0" applyFont="1" applyFill="1" applyBorder="1" applyAlignment="1">
      <alignment horizontal="left" vertical="center"/>
    </xf>
    <xf numFmtId="0" fontId="10" fillId="3" borderId="2" xfId="0" applyFont="1" applyFill="1" applyBorder="1" applyAlignment="1">
      <alignment horizontal="left" vertical="center"/>
    </xf>
    <xf numFmtId="0" fontId="10" fillId="3" borderId="5" xfId="0" applyFont="1" applyFill="1" applyBorder="1" applyAlignment="1">
      <alignment horizontal="left" vertical="center"/>
    </xf>
    <xf numFmtId="0" fontId="9" fillId="3" borderId="3"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vertical="center" wrapText="1"/>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5" fillId="5" borderId="1" xfId="0" applyFont="1" applyFill="1" applyBorder="1" applyAlignment="1">
      <alignment horizontal="center" vertical="center"/>
    </xf>
    <xf numFmtId="2" fontId="18" fillId="0" borderId="15" xfId="0" applyNumberFormat="1" applyFont="1" applyBorder="1" applyAlignment="1">
      <alignment horizontal="center" vertical="center"/>
    </xf>
    <xf numFmtId="2" fontId="18" fillId="0" borderId="17" xfId="0" applyNumberFormat="1" applyFont="1" applyBorder="1" applyAlignment="1">
      <alignment horizontal="center" vertical="center"/>
    </xf>
    <xf numFmtId="2" fontId="18" fillId="0" borderId="16" xfId="0" applyNumberFormat="1"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3" borderId="1" xfId="0" applyFont="1" applyFill="1" applyBorder="1" applyAlignment="1">
      <alignment horizontal="justify" vertical="center" wrapText="1"/>
    </xf>
    <xf numFmtId="0" fontId="4" fillId="5" borderId="9" xfId="0" applyFont="1" applyFill="1" applyBorder="1" applyAlignment="1">
      <alignment horizontal="justify" vertical="center" wrapText="1"/>
    </xf>
    <xf numFmtId="0" fontId="4" fillId="5" borderId="10" xfId="0" applyFont="1" applyFill="1" applyBorder="1" applyAlignment="1">
      <alignment horizontal="justify" vertical="center" wrapText="1"/>
    </xf>
    <xf numFmtId="0" fontId="4" fillId="5" borderId="1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2" borderId="1" xfId="0" applyFont="1" applyFill="1" applyBorder="1" applyAlignment="1">
      <alignment horizontal="center" vertical="center"/>
    </xf>
    <xf numFmtId="2" fontId="18" fillId="0" borderId="1" xfId="0" applyNumberFormat="1" applyFont="1" applyBorder="1" applyAlignment="1">
      <alignment horizontal="center" vertic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4" fontId="4" fillId="3" borderId="15" xfId="0" applyNumberFormat="1" applyFont="1" applyFill="1" applyBorder="1" applyAlignment="1">
      <alignment horizontal="center" vertical="center"/>
    </xf>
    <xf numFmtId="4" fontId="4" fillId="3" borderId="17" xfId="0" applyNumberFormat="1" applyFont="1" applyFill="1" applyBorder="1" applyAlignment="1">
      <alignment horizontal="center" vertical="center"/>
    </xf>
    <xf numFmtId="4" fontId="4" fillId="3" borderId="16" xfId="0" applyNumberFormat="1" applyFont="1" applyFill="1" applyBorder="1" applyAlignment="1">
      <alignment horizontal="center" vertical="center"/>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1" xfId="0" applyFont="1" applyFill="1" applyBorder="1" applyAlignment="1">
      <alignment horizontal="left"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4" fillId="3" borderId="1" xfId="0" applyFont="1" applyFill="1" applyBorder="1" applyAlignment="1">
      <alignment horizontal="justify"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2" fillId="3" borderId="1" xfId="1" applyNumberFormat="1" applyFont="1" applyFill="1" applyBorder="1" applyAlignment="1">
      <alignment horizontal="center" vertical="center" wrapText="1"/>
    </xf>
    <xf numFmtId="0" fontId="3" fillId="12" borderId="1" xfId="0" applyFont="1" applyFill="1" applyBorder="1" applyAlignment="1">
      <alignment horizontal="center" vertical="center"/>
    </xf>
    <xf numFmtId="10" fontId="6" fillId="3" borderId="1" xfId="0" applyNumberFormat="1" applyFont="1" applyFill="1" applyBorder="1" applyAlignment="1">
      <alignment horizontal="center" vertical="center"/>
    </xf>
    <xf numFmtId="14" fontId="6" fillId="3" borderId="1" xfId="0" applyNumberFormat="1" applyFont="1" applyFill="1" applyBorder="1" applyAlignment="1">
      <alignment horizontal="center" vertical="center"/>
    </xf>
    <xf numFmtId="0" fontId="5" fillId="12" borderId="1" xfId="0" applyFont="1" applyFill="1" applyBorder="1" applyAlignment="1">
      <alignment horizontal="justify" vertical="center"/>
    </xf>
    <xf numFmtId="0" fontId="4" fillId="2" borderId="9" xfId="0" applyFont="1" applyFill="1" applyBorder="1" applyAlignment="1">
      <alignment horizontal="justify" vertical="center"/>
    </xf>
    <xf numFmtId="0" fontId="4" fillId="2" borderId="10" xfId="0" applyFont="1" applyFill="1" applyBorder="1" applyAlignment="1">
      <alignment horizontal="justify" vertical="center"/>
    </xf>
    <xf numFmtId="0" fontId="4" fillId="2" borderId="11" xfId="0" applyFont="1" applyFill="1" applyBorder="1" applyAlignment="1">
      <alignment horizontal="justify" vertical="center"/>
    </xf>
    <xf numFmtId="0" fontId="4" fillId="3" borderId="9" xfId="0" applyFont="1" applyFill="1" applyBorder="1" applyAlignment="1">
      <alignment horizontal="justify" vertical="center"/>
    </xf>
    <xf numFmtId="0" fontId="4" fillId="3" borderId="10" xfId="0" applyFont="1" applyFill="1" applyBorder="1" applyAlignment="1">
      <alignment horizontal="justify" vertical="center"/>
    </xf>
    <xf numFmtId="0" fontId="4" fillId="3" borderId="11" xfId="0" applyFont="1" applyFill="1" applyBorder="1" applyAlignment="1">
      <alignment horizontal="justify" vertical="center"/>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164" fontId="4" fillId="3" borderId="1" xfId="0" applyNumberFormat="1" applyFont="1" applyFill="1" applyBorder="1" applyAlignment="1">
      <alignment horizontal="center" vertical="center"/>
    </xf>
    <xf numFmtId="0" fontId="5" fillId="12" borderId="1" xfId="0" applyFont="1" applyFill="1" applyBorder="1" applyAlignment="1">
      <alignment horizontal="left" vertical="center"/>
    </xf>
    <xf numFmtId="0" fontId="4" fillId="2" borderId="1" xfId="0" applyFont="1" applyFill="1" applyBorder="1" applyAlignment="1">
      <alignment horizontal="justify" vertical="center"/>
    </xf>
    <xf numFmtId="165" fontId="4" fillId="3" borderId="1" xfId="0" applyNumberFormat="1"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18" fillId="3" borderId="9" xfId="0" applyFont="1" applyFill="1" applyBorder="1" applyAlignment="1">
      <alignment horizontal="left" vertical="center" wrapText="1"/>
    </xf>
    <xf numFmtId="0" fontId="18" fillId="3" borderId="10" xfId="0" applyFont="1" applyFill="1" applyBorder="1" applyAlignment="1">
      <alignment horizontal="left" vertical="center" wrapText="1"/>
    </xf>
    <xf numFmtId="0" fontId="18" fillId="3" borderId="11"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0" xfId="0" applyFont="1" applyFill="1" applyBorder="1" applyAlignment="1">
      <alignment horizontal="left" vertical="center" wrapText="1"/>
    </xf>
    <xf numFmtId="0" fontId="18" fillId="3" borderId="12"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164" fontId="5" fillId="2" borderId="15" xfId="0" applyNumberFormat="1" applyFont="1" applyFill="1" applyBorder="1" applyAlignment="1">
      <alignment horizontal="center" vertical="center" wrapText="1"/>
    </xf>
    <xf numFmtId="164" fontId="5" fillId="2" borderId="16"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5"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3" borderId="9" xfId="2" applyFont="1" applyFill="1" applyBorder="1" applyAlignment="1" applyProtection="1">
      <alignment horizontal="left"/>
    </xf>
    <xf numFmtId="0" fontId="4" fillId="3" borderId="10" xfId="2" applyFont="1" applyFill="1" applyBorder="1" applyAlignment="1" applyProtection="1">
      <alignment horizontal="left"/>
    </xf>
    <xf numFmtId="0" fontId="4" fillId="3" borderId="11" xfId="2" applyFont="1" applyFill="1" applyBorder="1" applyAlignment="1" applyProtection="1">
      <alignment horizontal="left"/>
    </xf>
    <xf numFmtId="49" fontId="0" fillId="8" borderId="1" xfId="2" applyNumberFormat="1" applyFont="1" applyFill="1" applyBorder="1" applyAlignment="1" applyProtection="1">
      <alignment horizontal="center" vertical="top" wrapText="1"/>
      <protection locked="0"/>
    </xf>
    <xf numFmtId="0" fontId="4" fillId="3" borderId="3" xfId="2" applyFont="1" applyFill="1" applyBorder="1" applyAlignment="1" applyProtection="1">
      <alignment horizontal="center" vertical="center"/>
    </xf>
    <xf numFmtId="0" fontId="4" fillId="3" borderId="0" xfId="2" applyFont="1" applyFill="1" applyBorder="1" applyAlignment="1" applyProtection="1">
      <alignment horizontal="center" vertical="center"/>
    </xf>
    <xf numFmtId="0" fontId="4" fillId="3" borderId="12" xfId="2" applyFont="1" applyFill="1" applyBorder="1" applyAlignment="1" applyProtection="1">
      <alignment horizontal="center" vertical="center"/>
    </xf>
    <xf numFmtId="0" fontId="4" fillId="3" borderId="6" xfId="2" applyFont="1" applyFill="1" applyBorder="1" applyAlignment="1" applyProtection="1">
      <alignment horizontal="center" vertical="center"/>
    </xf>
    <xf numFmtId="0" fontId="4" fillId="3" borderId="7" xfId="2" applyFont="1" applyFill="1" applyBorder="1" applyAlignment="1" applyProtection="1">
      <alignment horizontal="center" vertical="center"/>
    </xf>
    <xf numFmtId="0" fontId="4" fillId="3" borderId="8" xfId="2" applyFont="1" applyFill="1" applyBorder="1" applyAlignment="1" applyProtection="1">
      <alignment horizontal="center" vertical="center"/>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3" fillId="3" borderId="1" xfId="2" applyFont="1" applyFill="1" applyBorder="1" applyAlignment="1" applyProtection="1">
      <alignment horizontal="center" vertical="center" wrapText="1"/>
    </xf>
    <xf numFmtId="0" fontId="4" fillId="3" borderId="9" xfId="2" applyFont="1" applyFill="1" applyBorder="1" applyAlignment="1" applyProtection="1">
      <alignment horizontal="center"/>
    </xf>
    <xf numFmtId="0" fontId="4" fillId="3" borderId="10" xfId="2" applyFont="1" applyFill="1" applyBorder="1" applyAlignment="1" applyProtection="1">
      <alignment horizontal="center"/>
    </xf>
    <xf numFmtId="0" fontId="4" fillId="3" borderId="11" xfId="2" applyFont="1" applyFill="1" applyBorder="1" applyAlignment="1" applyProtection="1">
      <alignment horizontal="center"/>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0" borderId="1" xfId="2" applyFont="1" applyFill="1" applyBorder="1" applyAlignment="1" applyProtection="1">
      <alignment horizontal="left" vertical="center" wrapText="1"/>
    </xf>
    <xf numFmtId="0" fontId="0" fillId="0" borderId="1" xfId="2" applyFont="1" applyBorder="1" applyAlignment="1" applyProtection="1">
      <alignment horizontal="center" vertical="center" wrapText="1"/>
    </xf>
    <xf numFmtId="0" fontId="6" fillId="10" borderId="1" xfId="2" applyFont="1" applyFill="1" applyBorder="1" applyAlignment="1" applyProtection="1">
      <alignment horizontal="center" vertical="center" wrapText="1"/>
    </xf>
    <xf numFmtId="0" fontId="6" fillId="11" borderId="3" xfId="2" applyFont="1" applyFill="1" applyBorder="1" applyAlignment="1" applyProtection="1">
      <alignment horizontal="center" vertical="center" wrapText="1"/>
    </xf>
    <xf numFmtId="0" fontId="6" fillId="11" borderId="0" xfId="2" applyFont="1" applyFill="1" applyBorder="1" applyAlignment="1" applyProtection="1">
      <alignment horizontal="center" vertical="center" wrapText="1"/>
    </xf>
    <xf numFmtId="0" fontId="6" fillId="11" borderId="12" xfId="2" applyFont="1" applyFill="1" applyBorder="1" applyAlignment="1" applyProtection="1">
      <alignment horizontal="center" vertical="center" wrapText="1"/>
    </xf>
    <xf numFmtId="0" fontId="3" fillId="0" borderId="1" xfId="2" applyFont="1" applyBorder="1" applyAlignment="1" applyProtection="1">
      <alignment horizontal="center" vertical="center"/>
    </xf>
    <xf numFmtId="0" fontId="2" fillId="0" borderId="1" xfId="3"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2" applyFont="1" applyFill="1" applyBorder="1" applyAlignment="1" applyProtection="1">
      <alignment horizontal="justify" vertical="center" wrapText="1"/>
    </xf>
    <xf numFmtId="10" fontId="4" fillId="8" borderId="1" xfId="2" applyNumberFormat="1" applyFont="1" applyFill="1" applyBorder="1" applyAlignment="1" applyProtection="1">
      <alignment horizontal="center" vertical="center"/>
      <protection locked="0"/>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9" borderId="1" xfId="2" applyFont="1" applyFill="1" applyBorder="1" applyAlignment="1" applyProtection="1">
      <alignment horizontal="left" vertical="center" wrapText="1"/>
    </xf>
    <xf numFmtId="0" fontId="3" fillId="2" borderId="1" xfId="2"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5" fillId="3" borderId="1" xfId="2" applyFont="1" applyFill="1" applyBorder="1" applyAlignment="1">
      <alignment horizontal="center" vertical="center"/>
    </xf>
    <xf numFmtId="0" fontId="5" fillId="3"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4" fillId="7" borderId="1" xfId="2" applyFill="1" applyBorder="1" applyAlignment="1">
      <alignment horizontal="center" vertical="center"/>
    </xf>
    <xf numFmtId="0" fontId="4" fillId="7" borderId="1" xfId="2" applyFill="1" applyBorder="1" applyAlignment="1">
      <alignment horizontal="left" vertical="center" wrapText="1"/>
    </xf>
  </cellXfs>
  <cellStyles count="10">
    <cellStyle name="Moeda" xfId="8" builtinId="4"/>
    <cellStyle name="Normal" xfId="0" builtinId="0"/>
    <cellStyle name="Normal 2" xfId="2"/>
    <cellStyle name="Normal 3" xfId="7"/>
    <cellStyle name="Porcentagem" xfId="4" builtinId="5"/>
    <cellStyle name="Vírgula" xfId="1" builtinId="3"/>
    <cellStyle name="Vírgula 2" xfId="3"/>
    <cellStyle name="Vírgula 2 2" xfId="9"/>
    <cellStyle name="Vírgula 2 3" xfId="5"/>
    <cellStyle name="Vírgula 3" xfId="6"/>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Medium9"/>
  <colors>
    <mruColors>
      <color rgb="FF00FFFF"/>
      <color rgb="FF00FF00"/>
      <color rgb="FF994C00"/>
      <color rgb="FF3F7F7F"/>
      <color rgb="FF7F66CC"/>
      <color rgb="FFFF7F9F"/>
      <color rgb="FF66FF66"/>
      <color rgb="FF0000FF"/>
      <color rgb="FFFF33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0</xdr:row>
      <xdr:rowOff>76200</xdr:rowOff>
    </xdr:from>
    <xdr:to>
      <xdr:col>2</xdr:col>
      <xdr:colOff>600075</xdr:colOff>
      <xdr:row>2</xdr:row>
      <xdr:rowOff>142875</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xdr:colOff>
      <xdr:row>0</xdr:row>
      <xdr:rowOff>76200</xdr:rowOff>
    </xdr:from>
    <xdr:to>
      <xdr:col>7</xdr:col>
      <xdr:colOff>552450</xdr:colOff>
      <xdr:row>2</xdr:row>
      <xdr:rowOff>142875</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01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962025</xdr:colOff>
      <xdr:row>0</xdr:row>
      <xdr:rowOff>76199</xdr:rowOff>
    </xdr:from>
    <xdr:to>
      <xdr:col>8</xdr:col>
      <xdr:colOff>513750</xdr:colOff>
      <xdr:row>2</xdr:row>
      <xdr:rowOff>143099</xdr:rowOff>
    </xdr:to>
    <xdr:pic>
      <xdr:nvPicPr>
        <xdr:cNvPr id="2"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8953500"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999525</xdr:colOff>
      <xdr:row>2</xdr:row>
      <xdr:rowOff>143100</xdr:rowOff>
    </xdr:to>
    <xdr:pic>
      <xdr:nvPicPr>
        <xdr:cNvPr id="3" name="Imagem 2">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447800" y="762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371475</xdr:colOff>
      <xdr:row>0</xdr:row>
      <xdr:rowOff>76200</xdr:rowOff>
    </xdr:from>
    <xdr:to>
      <xdr:col>1</xdr:col>
      <xdr:colOff>904875</xdr:colOff>
      <xdr:row>3</xdr:row>
      <xdr:rowOff>47625</xdr:rowOff>
    </xdr:to>
    <xdr:pic>
      <xdr:nvPicPr>
        <xdr:cNvPr id="4"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552450</xdr:colOff>
      <xdr:row>0</xdr:row>
      <xdr:rowOff>123825</xdr:rowOff>
    </xdr:from>
    <xdr:to>
      <xdr:col>7</xdr:col>
      <xdr:colOff>266700</xdr:colOff>
      <xdr:row>3</xdr:row>
      <xdr:rowOff>95250</xdr:rowOff>
    </xdr:to>
    <xdr:pic>
      <xdr:nvPicPr>
        <xdr:cNvPr id="5"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72825" y="1238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0</xdr:row>
      <xdr:rowOff>85725</xdr:rowOff>
    </xdr:from>
    <xdr:to>
      <xdr:col>1</xdr:col>
      <xdr:colOff>1133475</xdr:colOff>
      <xdr:row>2</xdr:row>
      <xdr:rowOff>190500</xdr:rowOff>
    </xdr:to>
    <xdr:pic>
      <xdr:nvPicPr>
        <xdr:cNvPr id="2"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85725"/>
          <a:ext cx="533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190500</xdr:colOff>
      <xdr:row>0</xdr:row>
      <xdr:rowOff>66675</xdr:rowOff>
    </xdr:from>
    <xdr:to>
      <xdr:col>7</xdr:col>
      <xdr:colOff>723900</xdr:colOff>
      <xdr:row>2</xdr:row>
      <xdr:rowOff>190500</xdr:rowOff>
    </xdr:to>
    <xdr:pic>
      <xdr:nvPicPr>
        <xdr:cNvPr id="3"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11075" y="66675"/>
          <a:ext cx="5334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7</xdr:col>
      <xdr:colOff>962025</xdr:colOff>
      <xdr:row>0</xdr:row>
      <xdr:rowOff>76200</xdr:rowOff>
    </xdr:from>
    <xdr:to>
      <xdr:col>8</xdr:col>
      <xdr:colOff>533400</xdr:colOff>
      <xdr:row>2</xdr:row>
      <xdr:rowOff>142875</xdr:rowOff>
    </xdr:to>
    <xdr:pic>
      <xdr:nvPicPr>
        <xdr:cNvPr id="9"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0"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4" name="CaixaDeTexto 1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4" name="CaixaDeTexto 1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819150</xdr:colOff>
      <xdr:row>0</xdr:row>
      <xdr:rowOff>76200</xdr:rowOff>
    </xdr:from>
    <xdr:to>
      <xdr:col>1</xdr:col>
      <xdr:colOff>1352550</xdr:colOff>
      <xdr:row>2</xdr:row>
      <xdr:rowOff>142875</xdr:rowOff>
    </xdr:to>
    <xdr:pic>
      <xdr:nvPicPr>
        <xdr:cNvPr id="4" name="Imagem 2">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333375</xdr:colOff>
      <xdr:row>0</xdr:row>
      <xdr:rowOff>66675</xdr:rowOff>
    </xdr:from>
    <xdr:to>
      <xdr:col>14</xdr:col>
      <xdr:colOff>85725</xdr:colOff>
      <xdr:row>2</xdr:row>
      <xdr:rowOff>133350</xdr:rowOff>
    </xdr:to>
    <xdr:pic>
      <xdr:nvPicPr>
        <xdr:cNvPr id="5" name="Picture 56">
          <a:extLst>
            <a:ext uri="{FF2B5EF4-FFF2-40B4-BE49-F238E27FC236}">
              <a16:creationId xmlns:a16="http://schemas.microsoft.com/office/drawing/2014/main" id="{00000000-0008-0000-04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96625" y="6667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RAS/&#8226;%20VIGENTES/INDIRETA/PAV.%20-%20RUA%20ITABIRA/02%20-%20PLANILHA%20OR&#199;AMENT&#193;RIA/Planilha%20Or&#231;ament&#225;ria%20-%20Pavimenta&#231;&#227;o%20Rua%20Itabira%20-%20Rev.13%20J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BRAS/&#8226;%20EM%20AN&#193;LISE/2022/ELABORA&#199;&#195;O%20-%20PAVIMENTA&#199;&#195;O%20RUA%20PROJETADA%2030%20PEDRA%20FURADA/02%20-%20PLANILHA%20OR&#199;AMENT&#193;RIA/PLANILHA%20OR&#199;AMENT&#193;RIA%20-%20PAV%20RUA%20PROJETADA%2030%20-%20REV.09%20J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Memória de cálculo - Composição"/>
      <sheetName val="BDI"/>
      <sheetName val="Cronograma"/>
    </sheetNames>
    <sheetDataSet>
      <sheetData sheetId="0">
        <row r="47">
          <cell r="F47" t="str">
            <v>UN</v>
          </cell>
        </row>
      </sheetData>
      <sheetData sheetId="1"/>
      <sheetData sheetId="2">
        <row r="21">
          <cell r="F21" t="str">
            <v>M3</v>
          </cell>
        </row>
        <row r="22">
          <cell r="F22" t="str">
            <v>M2</v>
          </cell>
        </row>
        <row r="24">
          <cell r="F24" t="str">
            <v>M2</v>
          </cell>
        </row>
        <row r="25">
          <cell r="F25" t="str">
            <v>KG</v>
          </cell>
        </row>
        <row r="26">
          <cell r="F26" t="str">
            <v>M3</v>
          </cell>
        </row>
        <row r="56">
          <cell r="F56" t="str">
            <v>Unidade</v>
          </cell>
        </row>
        <row r="57">
          <cell r="F57" t="str">
            <v>M3</v>
          </cell>
        </row>
        <row r="59">
          <cell r="F59" t="str">
            <v>H</v>
          </cell>
        </row>
        <row r="60">
          <cell r="F60" t="str">
            <v>H</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Evento"/>
      <sheetName val="Memória de cálculo"/>
      <sheetName val="Composição"/>
      <sheetName val="BDI"/>
      <sheetName val="Cronograma"/>
    </sheetNames>
    <sheetDataSet>
      <sheetData sheetId="0">
        <row r="4">
          <cell r="A4" t="str">
            <v>OBRA POR EXECUÇÃO INDIRETA</v>
          </cell>
        </row>
        <row r="5">
          <cell r="A5" t="str">
            <v>Setor requisitante: Secretaria Municipal de Obras e Serviços Urbanos</v>
          </cell>
        </row>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tabSelected="1" view="pageBreakPreview" topLeftCell="A43" zoomScaleNormal="100" zoomScaleSheetLayoutView="100" workbookViewId="0">
      <selection activeCell="G46" sqref="G46:G53"/>
    </sheetView>
  </sheetViews>
  <sheetFormatPr defaultRowHeight="16.5" customHeight="1" x14ac:dyDescent="0.25"/>
  <cols>
    <col min="1" max="1" width="7.85546875" style="13" customWidth="1"/>
    <col min="2" max="3" width="12.7109375" style="12" customWidth="1"/>
    <col min="4" max="4" width="100" style="12" customWidth="1"/>
    <col min="5" max="6" width="12.7109375" style="12" customWidth="1"/>
    <col min="7" max="8" width="15" style="12" customWidth="1"/>
    <col min="9" max="9" width="17.5703125" style="12" customWidth="1"/>
    <col min="10" max="16" width="15" style="12" customWidth="1"/>
    <col min="17" max="16384" width="9.140625" style="12"/>
  </cols>
  <sheetData>
    <row r="1" spans="1:17" s="1" customFormat="1" ht="16.5" customHeight="1" x14ac:dyDescent="0.25">
      <c r="A1" s="134" t="s">
        <v>25</v>
      </c>
      <c r="B1" s="134"/>
      <c r="C1" s="134"/>
      <c r="D1" s="134"/>
      <c r="E1" s="134"/>
      <c r="F1" s="134"/>
      <c r="G1" s="134"/>
      <c r="H1" s="134"/>
      <c r="I1" s="134"/>
      <c r="K1" s="7"/>
      <c r="Q1" s="13">
        <v>1</v>
      </c>
    </row>
    <row r="2" spans="1:17" s="1" customFormat="1" ht="16.5" customHeight="1" x14ac:dyDescent="0.25">
      <c r="A2" s="134"/>
      <c r="B2" s="134"/>
      <c r="C2" s="134"/>
      <c r="D2" s="134"/>
      <c r="E2" s="134"/>
      <c r="F2" s="134"/>
      <c r="G2" s="134"/>
      <c r="H2" s="134"/>
      <c r="I2" s="134"/>
      <c r="K2" s="7"/>
      <c r="Q2" s="13">
        <v>2</v>
      </c>
    </row>
    <row r="3" spans="1:17" s="1" customFormat="1" ht="16.5" customHeight="1" x14ac:dyDescent="0.25">
      <c r="A3" s="134"/>
      <c r="B3" s="134"/>
      <c r="C3" s="134"/>
      <c r="D3" s="134"/>
      <c r="E3" s="134"/>
      <c r="F3" s="134"/>
      <c r="G3" s="134"/>
      <c r="H3" s="134"/>
      <c r="I3" s="134"/>
      <c r="K3" s="7"/>
      <c r="Q3" s="13">
        <v>3</v>
      </c>
    </row>
    <row r="4" spans="1:17" s="1" customFormat="1" ht="16.5" customHeight="1" x14ac:dyDescent="0.25">
      <c r="A4" s="132" t="s">
        <v>0</v>
      </c>
      <c r="B4" s="132"/>
      <c r="C4" s="132"/>
      <c r="D4" s="132"/>
      <c r="E4" s="132"/>
      <c r="F4" s="132"/>
      <c r="G4" s="132"/>
      <c r="H4" s="132"/>
      <c r="I4" s="132"/>
      <c r="K4" s="7"/>
      <c r="Q4" s="13">
        <v>4</v>
      </c>
    </row>
    <row r="5" spans="1:17" s="1" customFormat="1" ht="16.5" customHeight="1" x14ac:dyDescent="0.25">
      <c r="A5" s="135" t="s">
        <v>26</v>
      </c>
      <c r="B5" s="135"/>
      <c r="C5" s="135"/>
      <c r="D5" s="135"/>
      <c r="E5" s="135"/>
      <c r="F5" s="135"/>
      <c r="G5" s="135"/>
      <c r="H5" s="135"/>
      <c r="I5" s="135"/>
      <c r="K5" s="7"/>
      <c r="Q5" s="13">
        <v>5</v>
      </c>
    </row>
    <row r="6" spans="1:17" s="1" customFormat="1" ht="16.5" customHeight="1" x14ac:dyDescent="0.25">
      <c r="A6" s="136" t="s">
        <v>1</v>
      </c>
      <c r="B6" s="136"/>
      <c r="C6" s="140" t="s">
        <v>307</v>
      </c>
      <c r="D6" s="141"/>
      <c r="E6" s="141"/>
      <c r="F6" s="142"/>
      <c r="G6" s="137" t="s">
        <v>2</v>
      </c>
      <c r="H6" s="138">
        <f>BDI!J28</f>
        <v>0.30380000000000001</v>
      </c>
      <c r="I6" s="139">
        <f ca="1">TODAY()</f>
        <v>44887</v>
      </c>
      <c r="K6" s="7"/>
      <c r="Q6" s="13">
        <v>6</v>
      </c>
    </row>
    <row r="7" spans="1:17" s="1" customFormat="1" ht="16.5" customHeight="1" x14ac:dyDescent="0.25">
      <c r="A7" s="136"/>
      <c r="B7" s="136"/>
      <c r="C7" s="143"/>
      <c r="D7" s="144"/>
      <c r="E7" s="144"/>
      <c r="F7" s="145"/>
      <c r="G7" s="137"/>
      <c r="H7" s="138"/>
      <c r="I7" s="139"/>
      <c r="J7" s="4"/>
      <c r="K7" s="7"/>
      <c r="Q7" s="13">
        <v>7</v>
      </c>
    </row>
    <row r="8" spans="1:17" s="1" customFormat="1" ht="16.5" customHeight="1" x14ac:dyDescent="0.25">
      <c r="A8" s="132" t="s">
        <v>3</v>
      </c>
      <c r="B8" s="132"/>
      <c r="C8" s="132"/>
      <c r="D8" s="132"/>
      <c r="E8" s="132"/>
      <c r="F8" s="132"/>
      <c r="G8" s="132"/>
      <c r="H8" s="132"/>
      <c r="I8" s="132"/>
      <c r="K8" s="7"/>
      <c r="Q8" s="13">
        <v>8</v>
      </c>
    </row>
    <row r="9" spans="1:17" s="1" customFormat="1" ht="25.5" customHeight="1" x14ac:dyDescent="0.25">
      <c r="A9" s="10" t="s">
        <v>4</v>
      </c>
      <c r="B9" s="11" t="s">
        <v>5</v>
      </c>
      <c r="C9" s="11" t="s">
        <v>72</v>
      </c>
      <c r="D9" s="10" t="s">
        <v>6</v>
      </c>
      <c r="E9" s="2" t="s">
        <v>7</v>
      </c>
      <c r="F9" s="10" t="s">
        <v>20</v>
      </c>
      <c r="G9" s="3" t="s">
        <v>8</v>
      </c>
      <c r="H9" s="3" t="s">
        <v>9</v>
      </c>
      <c r="I9" s="6" t="s">
        <v>10</v>
      </c>
      <c r="K9" s="7"/>
      <c r="Q9" s="13">
        <v>9</v>
      </c>
    </row>
    <row r="10" spans="1:17" s="1" customFormat="1" ht="16.5" customHeight="1" x14ac:dyDescent="0.25">
      <c r="A10" s="47">
        <v>1</v>
      </c>
      <c r="B10" s="47" t="s">
        <v>73</v>
      </c>
      <c r="C10" s="47" t="s">
        <v>73</v>
      </c>
      <c r="D10" s="133" t="s">
        <v>34</v>
      </c>
      <c r="E10" s="133"/>
      <c r="F10" s="133"/>
      <c r="G10" s="133"/>
      <c r="H10" s="133"/>
      <c r="I10" s="133"/>
      <c r="K10" s="7"/>
      <c r="Q10" s="13">
        <v>11</v>
      </c>
    </row>
    <row r="11" spans="1:17" s="1" customFormat="1" ht="25.5" customHeight="1" x14ac:dyDescent="0.25">
      <c r="A11" s="15" t="str">
        <f>$A$10&amp;"."&amp;Q1</f>
        <v>1.1</v>
      </c>
      <c r="B11" s="66" t="s">
        <v>306</v>
      </c>
      <c r="C11" s="30" t="s">
        <v>173</v>
      </c>
      <c r="D11" s="26" t="s">
        <v>305</v>
      </c>
      <c r="E11" s="39">
        <f>'Mem. Cálc. - P.O'!J18</f>
        <v>1</v>
      </c>
      <c r="F11" s="8" t="s">
        <v>35</v>
      </c>
      <c r="G11" s="27"/>
      <c r="H11" s="27">
        <f>G11+G11*H6</f>
        <v>0</v>
      </c>
      <c r="I11" s="27">
        <f>E11*H11</f>
        <v>0</v>
      </c>
      <c r="K11" s="44"/>
      <c r="Q11" s="13">
        <v>12</v>
      </c>
    </row>
    <row r="12" spans="1:17" s="1" customFormat="1" ht="16.5" customHeight="1" x14ac:dyDescent="0.25">
      <c r="A12" s="131" t="str">
        <f>"TOTAL (Item "&amp;A10&amp;"):"</f>
        <v>TOTAL (Item 1):</v>
      </c>
      <c r="B12" s="131"/>
      <c r="C12" s="131"/>
      <c r="D12" s="131"/>
      <c r="E12" s="131"/>
      <c r="F12" s="131"/>
      <c r="G12" s="131"/>
      <c r="H12" s="131"/>
      <c r="I12" s="49">
        <f>SUM(I11:I11)</f>
        <v>0</v>
      </c>
      <c r="K12" s="44"/>
      <c r="L12" s="45"/>
      <c r="Q12" s="13">
        <v>13</v>
      </c>
    </row>
    <row r="13" spans="1:17" s="1" customFormat="1" ht="16.5" customHeight="1" x14ac:dyDescent="0.25">
      <c r="A13" s="47">
        <v>2</v>
      </c>
      <c r="B13" s="47" t="s">
        <v>73</v>
      </c>
      <c r="C13" s="47" t="s">
        <v>73</v>
      </c>
      <c r="D13" s="133" t="s">
        <v>36</v>
      </c>
      <c r="E13" s="133"/>
      <c r="F13" s="133"/>
      <c r="G13" s="133"/>
      <c r="H13" s="133"/>
      <c r="I13" s="133"/>
      <c r="K13" s="44"/>
      <c r="L13" s="45"/>
      <c r="Q13" s="13">
        <v>14</v>
      </c>
    </row>
    <row r="14" spans="1:17" s="1" customFormat="1" ht="38.25" customHeight="1" x14ac:dyDescent="0.25">
      <c r="A14" s="15" t="str">
        <f>$A$13&amp;"."&amp;Q1</f>
        <v>2.1</v>
      </c>
      <c r="B14" s="66" t="s">
        <v>165</v>
      </c>
      <c r="C14" s="30" t="s">
        <v>173</v>
      </c>
      <c r="D14" s="26" t="s">
        <v>163</v>
      </c>
      <c r="E14" s="39">
        <f>'Mem. Cálc. - P.O'!J23</f>
        <v>1</v>
      </c>
      <c r="F14" s="8" t="s">
        <v>30</v>
      </c>
      <c r="G14" s="27"/>
      <c r="H14" s="27">
        <f>(G14+(G14*$H$6))</f>
        <v>0</v>
      </c>
      <c r="I14" s="27">
        <f t="shared" ref="I14:I18" si="0">E14*H14</f>
        <v>0</v>
      </c>
      <c r="K14" s="44"/>
      <c r="Q14" s="13">
        <v>15</v>
      </c>
    </row>
    <row r="15" spans="1:17" s="1" customFormat="1" ht="25.5" customHeight="1" x14ac:dyDescent="0.25">
      <c r="A15" s="15" t="str">
        <f>$A$13&amp;"."&amp;Q2</f>
        <v>2.2</v>
      </c>
      <c r="B15" s="66" t="s">
        <v>166</v>
      </c>
      <c r="C15" s="30" t="s">
        <v>173</v>
      </c>
      <c r="D15" s="26" t="s">
        <v>140</v>
      </c>
      <c r="E15" s="39">
        <f>'Mem. Cálc. - P.O'!J27</f>
        <v>4</v>
      </c>
      <c r="F15" s="8" t="s">
        <v>67</v>
      </c>
      <c r="G15" s="27"/>
      <c r="H15" s="27">
        <f t="shared" ref="H15:H18" si="1">(G15+(G15*$H$6))</f>
        <v>0</v>
      </c>
      <c r="I15" s="27">
        <f t="shared" si="0"/>
        <v>0</v>
      </c>
      <c r="K15" s="7"/>
      <c r="N15" s="1">
        <f>L15*M15</f>
        <v>0</v>
      </c>
      <c r="Q15" s="13"/>
    </row>
    <row r="16" spans="1:17" s="1" customFormat="1" ht="38.25" customHeight="1" x14ac:dyDescent="0.25">
      <c r="A16" s="15" t="str">
        <f>$A$13&amp;"."&amp;Q3</f>
        <v>2.3</v>
      </c>
      <c r="B16" s="66" t="s">
        <v>66</v>
      </c>
      <c r="C16" s="30" t="s">
        <v>173</v>
      </c>
      <c r="D16" s="26" t="s">
        <v>141</v>
      </c>
      <c r="E16" s="39">
        <f>'Mem. Cálc. - P.O'!J31</f>
        <v>4</v>
      </c>
      <c r="F16" s="8" t="s">
        <v>67</v>
      </c>
      <c r="G16" s="27"/>
      <c r="H16" s="27">
        <f t="shared" si="1"/>
        <v>0</v>
      </c>
      <c r="I16" s="27">
        <f t="shared" si="0"/>
        <v>0</v>
      </c>
      <c r="K16" s="7"/>
      <c r="N16" s="1">
        <f>L16*M16</f>
        <v>0</v>
      </c>
      <c r="Q16" s="13"/>
    </row>
    <row r="17" spans="1:17" s="1" customFormat="1" ht="25.5" customHeight="1" x14ac:dyDescent="0.25">
      <c r="A17" s="15" t="str">
        <f>$A$13&amp;"."&amp;Q4</f>
        <v>2.4</v>
      </c>
      <c r="B17" s="66" t="s">
        <v>74</v>
      </c>
      <c r="C17" s="30" t="s">
        <v>173</v>
      </c>
      <c r="D17" s="26" t="s">
        <v>75</v>
      </c>
      <c r="E17" s="39">
        <f>'Mem. Cálc. - P.O'!J35</f>
        <v>1</v>
      </c>
      <c r="F17" s="8" t="s">
        <v>30</v>
      </c>
      <c r="G17" s="27"/>
      <c r="H17" s="27">
        <f t="shared" si="1"/>
        <v>0</v>
      </c>
      <c r="I17" s="27">
        <f t="shared" si="0"/>
        <v>0</v>
      </c>
      <c r="K17" s="68"/>
      <c r="L17" s="67"/>
      <c r="N17" s="45">
        <f>SUM(N15:N16)</f>
        <v>0</v>
      </c>
      <c r="Q17" s="13"/>
    </row>
    <row r="18" spans="1:17" s="1" customFormat="1" ht="25.5" customHeight="1" x14ac:dyDescent="0.25">
      <c r="A18" s="15" t="str">
        <f>$A$13&amp;"."&amp;Q5</f>
        <v>2.5</v>
      </c>
      <c r="B18" s="66" t="s">
        <v>167</v>
      </c>
      <c r="C18" s="30" t="s">
        <v>173</v>
      </c>
      <c r="D18" s="26" t="s">
        <v>76</v>
      </c>
      <c r="E18" s="39">
        <f>'Mem. Cálc. - P.O'!J40</f>
        <v>1</v>
      </c>
      <c r="F18" s="8" t="s">
        <v>30</v>
      </c>
      <c r="G18" s="27"/>
      <c r="H18" s="27">
        <f t="shared" si="1"/>
        <v>0</v>
      </c>
      <c r="I18" s="27">
        <f t="shared" si="0"/>
        <v>0</v>
      </c>
      <c r="K18" s="7"/>
      <c r="Q18" s="13"/>
    </row>
    <row r="19" spans="1:17" s="1" customFormat="1" ht="16.5" customHeight="1" x14ac:dyDescent="0.25">
      <c r="A19" s="131" t="str">
        <f>"TOTAL (Item "&amp;A13&amp;"):"</f>
        <v>TOTAL (Item 2):</v>
      </c>
      <c r="B19" s="131"/>
      <c r="C19" s="131"/>
      <c r="D19" s="131"/>
      <c r="E19" s="131"/>
      <c r="F19" s="131"/>
      <c r="G19" s="131"/>
      <c r="H19" s="131"/>
      <c r="I19" s="49">
        <f>SUM(I14:I18)</f>
        <v>0</v>
      </c>
      <c r="K19" s="7"/>
      <c r="Q19" s="13">
        <v>16</v>
      </c>
    </row>
    <row r="20" spans="1:17" s="1" customFormat="1" ht="16.5" customHeight="1" x14ac:dyDescent="0.25">
      <c r="A20" s="31">
        <v>3</v>
      </c>
      <c r="B20" s="32" t="s">
        <v>73</v>
      </c>
      <c r="C20" s="47" t="s">
        <v>73</v>
      </c>
      <c r="D20" s="129" t="s">
        <v>77</v>
      </c>
      <c r="E20" s="129"/>
      <c r="F20" s="129"/>
      <c r="G20" s="129"/>
      <c r="H20" s="129"/>
      <c r="I20" s="129"/>
      <c r="K20" s="7"/>
      <c r="L20" s="29"/>
      <c r="M20" s="29"/>
      <c r="Q20" s="13"/>
    </row>
    <row r="21" spans="1:17" s="9" customFormat="1" ht="25.5" customHeight="1" x14ac:dyDescent="0.2">
      <c r="A21" s="15" t="s">
        <v>79</v>
      </c>
      <c r="B21" s="35" t="s">
        <v>180</v>
      </c>
      <c r="C21" s="30" t="s">
        <v>173</v>
      </c>
      <c r="D21" s="26" t="s">
        <v>177</v>
      </c>
      <c r="E21" s="5">
        <f>'Mem. Cálc. - P.O'!J45</f>
        <v>88</v>
      </c>
      <c r="F21" s="14" t="s">
        <v>33</v>
      </c>
      <c r="G21" s="27"/>
      <c r="H21" s="27">
        <f t="shared" ref="H21:H24" si="2">(G21+(G21*$H$6))</f>
        <v>0</v>
      </c>
      <c r="I21" s="27">
        <f t="shared" ref="I21:I24" si="3">E21*H21</f>
        <v>0</v>
      </c>
    </row>
    <row r="22" spans="1:17" s="9" customFormat="1" ht="25.5" customHeight="1" x14ac:dyDescent="0.2">
      <c r="A22" s="15" t="s">
        <v>174</v>
      </c>
      <c r="B22" s="35" t="s">
        <v>178</v>
      </c>
      <c r="C22" s="30" t="s">
        <v>173</v>
      </c>
      <c r="D22" s="26" t="s">
        <v>78</v>
      </c>
      <c r="E22" s="5">
        <f>'Mem. Cálc. - P.O'!J49</f>
        <v>4</v>
      </c>
      <c r="F22" s="8" t="s">
        <v>67</v>
      </c>
      <c r="G22" s="27"/>
      <c r="H22" s="27">
        <f t="shared" si="2"/>
        <v>0</v>
      </c>
      <c r="I22" s="27">
        <f t="shared" si="3"/>
        <v>0</v>
      </c>
    </row>
    <row r="23" spans="1:17" s="9" customFormat="1" ht="25.5" customHeight="1" x14ac:dyDescent="0.2">
      <c r="A23" s="15" t="s">
        <v>175</v>
      </c>
      <c r="B23" s="35">
        <v>90781</v>
      </c>
      <c r="C23" s="30" t="s">
        <v>183</v>
      </c>
      <c r="D23" s="26" t="s">
        <v>179</v>
      </c>
      <c r="E23" s="5">
        <f>'Mem. Cálc. - P.O'!J53</f>
        <v>44</v>
      </c>
      <c r="F23" s="14" t="s">
        <v>33</v>
      </c>
      <c r="G23" s="27"/>
      <c r="H23" s="27">
        <f t="shared" si="2"/>
        <v>0</v>
      </c>
      <c r="I23" s="27">
        <f t="shared" si="3"/>
        <v>0</v>
      </c>
    </row>
    <row r="24" spans="1:17" s="9" customFormat="1" ht="25.5" customHeight="1" x14ac:dyDescent="0.2">
      <c r="A24" s="15" t="s">
        <v>176</v>
      </c>
      <c r="B24" s="35">
        <v>88253</v>
      </c>
      <c r="C24" s="30" t="s">
        <v>183</v>
      </c>
      <c r="D24" s="26" t="s">
        <v>90</v>
      </c>
      <c r="E24" s="5">
        <f>'Mem. Cálc. - P.O'!J57</f>
        <v>44</v>
      </c>
      <c r="F24" s="14" t="s">
        <v>33</v>
      </c>
      <c r="G24" s="27"/>
      <c r="H24" s="27">
        <f t="shared" si="2"/>
        <v>0</v>
      </c>
      <c r="I24" s="27">
        <f t="shared" si="3"/>
        <v>0</v>
      </c>
    </row>
    <row r="25" spans="1:17" s="1" customFormat="1" ht="16.5" customHeight="1" x14ac:dyDescent="0.25">
      <c r="A25" s="130" t="str">
        <f>"TOTAL (Item "&amp;A20&amp;")"</f>
        <v>TOTAL (Item 3)</v>
      </c>
      <c r="B25" s="130"/>
      <c r="C25" s="130"/>
      <c r="D25" s="130"/>
      <c r="E25" s="130"/>
      <c r="F25" s="130"/>
      <c r="G25" s="130"/>
      <c r="H25" s="130"/>
      <c r="I25" s="49">
        <f>SUM(I21:I24)</f>
        <v>0</v>
      </c>
      <c r="K25" s="7"/>
      <c r="L25" s="29"/>
      <c r="M25" s="29"/>
      <c r="Q25" s="13"/>
    </row>
    <row r="26" spans="1:17" s="1" customFormat="1" ht="16.5" customHeight="1" x14ac:dyDescent="0.25">
      <c r="A26" s="31">
        <v>4</v>
      </c>
      <c r="B26" s="32" t="s">
        <v>73</v>
      </c>
      <c r="C26" s="47" t="s">
        <v>73</v>
      </c>
      <c r="D26" s="129" t="s">
        <v>80</v>
      </c>
      <c r="E26" s="129"/>
      <c r="F26" s="129"/>
      <c r="G26" s="129"/>
      <c r="H26" s="129"/>
      <c r="I26" s="129"/>
      <c r="K26" s="7"/>
      <c r="L26" s="29"/>
      <c r="M26" s="29"/>
      <c r="Q26" s="13"/>
    </row>
    <row r="27" spans="1:17" s="1" customFormat="1" ht="25.5" customHeight="1" x14ac:dyDescent="0.25">
      <c r="A27" s="33" t="s">
        <v>115</v>
      </c>
      <c r="B27" s="66" t="s">
        <v>147</v>
      </c>
      <c r="C27" s="30" t="s">
        <v>173</v>
      </c>
      <c r="D27" s="26" t="s">
        <v>146</v>
      </c>
      <c r="E27" s="39">
        <f>'Mem. Cálc. - P.O'!J63</f>
        <v>3.52</v>
      </c>
      <c r="F27" s="8" t="s">
        <v>28</v>
      </c>
      <c r="G27" s="27"/>
      <c r="H27" s="27">
        <f>(G27+(G27*$H$6))</f>
        <v>0</v>
      </c>
      <c r="I27" s="27">
        <f t="shared" ref="I27:I28" si="4">E27*H27</f>
        <v>0</v>
      </c>
      <c r="J27" s="43"/>
      <c r="K27" s="7"/>
      <c r="L27" s="29"/>
      <c r="M27" s="29"/>
      <c r="Q27" s="13"/>
    </row>
    <row r="28" spans="1:17" s="1" customFormat="1" ht="25.5" customHeight="1" x14ac:dyDescent="0.25">
      <c r="A28" s="33" t="s">
        <v>127</v>
      </c>
      <c r="B28" s="66" t="s">
        <v>168</v>
      </c>
      <c r="C28" s="30" t="s">
        <v>173</v>
      </c>
      <c r="D28" s="26" t="s">
        <v>145</v>
      </c>
      <c r="E28" s="39">
        <f>'Mem. Cálc. - P.O'!J71</f>
        <v>10</v>
      </c>
      <c r="F28" s="8" t="s">
        <v>30</v>
      </c>
      <c r="G28" s="27"/>
      <c r="H28" s="27">
        <f>(G28+(G28*$H$6))</f>
        <v>0</v>
      </c>
      <c r="I28" s="27">
        <f t="shared" si="4"/>
        <v>0</v>
      </c>
      <c r="K28" s="7"/>
      <c r="L28" s="29"/>
      <c r="M28" s="29"/>
      <c r="Q28" s="13"/>
    </row>
    <row r="29" spans="1:17" s="1" customFormat="1" ht="16.5" customHeight="1" x14ac:dyDescent="0.25">
      <c r="A29" s="130" t="str">
        <f>"TOTAL (Item "&amp;A26&amp;")"</f>
        <v>TOTAL (Item 4)</v>
      </c>
      <c r="B29" s="130"/>
      <c r="C29" s="130"/>
      <c r="D29" s="130"/>
      <c r="E29" s="130"/>
      <c r="F29" s="130"/>
      <c r="G29" s="130"/>
      <c r="H29" s="130"/>
      <c r="I29" s="49">
        <f>SUM(I27:I28)</f>
        <v>0</v>
      </c>
      <c r="K29" s="7"/>
      <c r="L29" s="29"/>
      <c r="M29" s="29"/>
      <c r="Q29" s="13"/>
    </row>
    <row r="30" spans="1:17" ht="16.5" customHeight="1" x14ac:dyDescent="0.25">
      <c r="A30" s="47">
        <v>5</v>
      </c>
      <c r="B30" s="32" t="s">
        <v>73</v>
      </c>
      <c r="C30" s="47" t="s">
        <v>73</v>
      </c>
      <c r="D30" s="133" t="s">
        <v>68</v>
      </c>
      <c r="E30" s="133"/>
      <c r="F30" s="133"/>
      <c r="G30" s="133"/>
      <c r="H30" s="133"/>
      <c r="I30" s="133"/>
    </row>
    <row r="31" spans="1:17" ht="25.5" customHeight="1" x14ac:dyDescent="0.25">
      <c r="A31" s="33" t="s">
        <v>148</v>
      </c>
      <c r="B31" s="38" t="s">
        <v>271</v>
      </c>
      <c r="C31" s="30" t="s">
        <v>173</v>
      </c>
      <c r="D31" s="26" t="s">
        <v>272</v>
      </c>
      <c r="E31" s="39">
        <f>'Mem. Cálc. - P.O'!J78</f>
        <v>311.47000000000003</v>
      </c>
      <c r="F31" s="8" t="s">
        <v>29</v>
      </c>
      <c r="G31" s="27"/>
      <c r="H31" s="27">
        <f t="shared" ref="H31:H32" si="5">(G31+(G31*$H$6))</f>
        <v>0</v>
      </c>
      <c r="I31" s="27">
        <f>E31*H31</f>
        <v>0</v>
      </c>
    </row>
    <row r="32" spans="1:17" ht="25.5" customHeight="1" x14ac:dyDescent="0.25">
      <c r="A32" s="33" t="s">
        <v>149</v>
      </c>
      <c r="B32" s="38" t="s">
        <v>273</v>
      </c>
      <c r="C32" s="30" t="s">
        <v>173</v>
      </c>
      <c r="D32" s="26" t="s">
        <v>274</v>
      </c>
      <c r="E32" s="39">
        <f>'Mem. Cálc. - P.O'!J84</f>
        <v>311.47000000000003</v>
      </c>
      <c r="F32" s="8" t="s">
        <v>29</v>
      </c>
      <c r="G32" s="27"/>
      <c r="H32" s="27">
        <f t="shared" si="5"/>
        <v>0</v>
      </c>
      <c r="I32" s="27">
        <f>E32*H32</f>
        <v>0</v>
      </c>
    </row>
    <row r="33" spans="1:17" ht="25.5" customHeight="1" x14ac:dyDescent="0.25">
      <c r="A33" s="33" t="s">
        <v>150</v>
      </c>
      <c r="B33" s="38">
        <v>90107</v>
      </c>
      <c r="C33" s="30" t="s">
        <v>183</v>
      </c>
      <c r="D33" s="26" t="s">
        <v>69</v>
      </c>
      <c r="E33" s="39">
        <f>'Mem. Cálc. - P.O'!J105</f>
        <v>405.57</v>
      </c>
      <c r="F33" s="8" t="s">
        <v>29</v>
      </c>
      <c r="G33" s="27"/>
      <c r="H33" s="27">
        <f t="shared" ref="H33:H43" si="6">(G33+(G33*$H$6))</f>
        <v>0</v>
      </c>
      <c r="I33" s="27">
        <f>E33*H33</f>
        <v>0</v>
      </c>
    </row>
    <row r="34" spans="1:17" ht="25.5" customHeight="1" x14ac:dyDescent="0.25">
      <c r="A34" s="33" t="s">
        <v>151</v>
      </c>
      <c r="B34" s="38">
        <v>90108</v>
      </c>
      <c r="C34" s="30" t="s">
        <v>183</v>
      </c>
      <c r="D34" s="26" t="s">
        <v>270</v>
      </c>
      <c r="E34" s="39">
        <f>'Mem. Cálc. - P.O'!J115</f>
        <v>603.62</v>
      </c>
      <c r="F34" s="8" t="s">
        <v>29</v>
      </c>
      <c r="G34" s="27"/>
      <c r="H34" s="27">
        <f t="shared" ref="H34" si="7">(G34+(G34*$H$6))</f>
        <v>0</v>
      </c>
      <c r="I34" s="27">
        <f>E34*H34</f>
        <v>0</v>
      </c>
    </row>
    <row r="35" spans="1:17" ht="25.5" customHeight="1" x14ac:dyDescent="0.25">
      <c r="A35" s="33" t="s">
        <v>152</v>
      </c>
      <c r="B35" s="38">
        <v>101616</v>
      </c>
      <c r="C35" s="30" t="s">
        <v>183</v>
      </c>
      <c r="D35" s="26" t="s">
        <v>144</v>
      </c>
      <c r="E35" s="39">
        <f>'Mem. Cálc. - P.O'!J142</f>
        <v>469.97</v>
      </c>
      <c r="F35" s="8" t="s">
        <v>28</v>
      </c>
      <c r="G35" s="27"/>
      <c r="H35" s="27">
        <f t="shared" si="6"/>
        <v>0</v>
      </c>
      <c r="I35" s="27">
        <f t="shared" ref="I35:I43" si="8">E35*H35</f>
        <v>0</v>
      </c>
    </row>
    <row r="36" spans="1:17" ht="25.5" customHeight="1" x14ac:dyDescent="0.25">
      <c r="A36" s="33" t="s">
        <v>153</v>
      </c>
      <c r="B36" s="38">
        <v>96620</v>
      </c>
      <c r="C36" s="30" t="s">
        <v>183</v>
      </c>
      <c r="D36" s="26" t="s">
        <v>285</v>
      </c>
      <c r="E36" s="39">
        <f>'Mem. Cálc. - P.O'!J152</f>
        <v>34.01</v>
      </c>
      <c r="F36" s="8" t="s">
        <v>29</v>
      </c>
      <c r="G36" s="27"/>
      <c r="H36" s="27">
        <f t="shared" si="6"/>
        <v>0</v>
      </c>
      <c r="I36" s="27">
        <f t="shared" si="8"/>
        <v>0</v>
      </c>
    </row>
    <row r="37" spans="1:17" ht="25.5" customHeight="1" x14ac:dyDescent="0.25">
      <c r="A37" s="33" t="s">
        <v>184</v>
      </c>
      <c r="B37" s="38">
        <v>92210</v>
      </c>
      <c r="C37" s="30" t="s">
        <v>183</v>
      </c>
      <c r="D37" s="26" t="s">
        <v>70</v>
      </c>
      <c r="E37" s="39">
        <f>'Mem. Cálc. - P.O'!J173</f>
        <v>266.32</v>
      </c>
      <c r="F37" s="8" t="s">
        <v>31</v>
      </c>
      <c r="G37" s="27"/>
      <c r="H37" s="27">
        <f t="shared" si="6"/>
        <v>0</v>
      </c>
      <c r="I37" s="27">
        <f t="shared" si="8"/>
        <v>0</v>
      </c>
    </row>
    <row r="38" spans="1:17" ht="25.5" customHeight="1" x14ac:dyDescent="0.25">
      <c r="A38" s="33" t="s">
        <v>269</v>
      </c>
      <c r="B38" s="38">
        <v>92212</v>
      </c>
      <c r="C38" s="30" t="s">
        <v>183</v>
      </c>
      <c r="D38" s="26" t="s">
        <v>287</v>
      </c>
      <c r="E38" s="39">
        <f>'Mem. Cálc. - P.O'!J182</f>
        <v>315.02999999999997</v>
      </c>
      <c r="F38" s="8" t="s">
        <v>31</v>
      </c>
      <c r="G38" s="27"/>
      <c r="H38" s="27">
        <f t="shared" si="6"/>
        <v>0</v>
      </c>
      <c r="I38" s="27">
        <f t="shared" si="8"/>
        <v>0</v>
      </c>
    </row>
    <row r="39" spans="1:17" ht="25.5" customHeight="1" x14ac:dyDescent="0.25">
      <c r="A39" s="33" t="s">
        <v>275</v>
      </c>
      <c r="B39" s="38">
        <v>93382</v>
      </c>
      <c r="C39" s="30" t="s">
        <v>183</v>
      </c>
      <c r="D39" s="26" t="s">
        <v>71</v>
      </c>
      <c r="E39" s="39">
        <f>'Mem. Cálc. - P.O'!J214</f>
        <v>836.36</v>
      </c>
      <c r="F39" s="8" t="s">
        <v>29</v>
      </c>
      <c r="G39" s="27"/>
      <c r="H39" s="27">
        <f t="shared" si="6"/>
        <v>0</v>
      </c>
      <c r="I39" s="27">
        <f t="shared" si="8"/>
        <v>0</v>
      </c>
    </row>
    <row r="40" spans="1:17" ht="25.5" customHeight="1" x14ac:dyDescent="0.25">
      <c r="A40" s="33" t="s">
        <v>276</v>
      </c>
      <c r="B40" s="38" t="s">
        <v>293</v>
      </c>
      <c r="C40" s="30" t="s">
        <v>173</v>
      </c>
      <c r="D40" s="26" t="s">
        <v>294</v>
      </c>
      <c r="E40" s="39">
        <f>'Mem. Cálc. - P.O'!J218</f>
        <v>1</v>
      </c>
      <c r="F40" s="8" t="s">
        <v>30</v>
      </c>
      <c r="G40" s="27"/>
      <c r="H40" s="27">
        <f t="shared" si="6"/>
        <v>0</v>
      </c>
      <c r="I40" s="27">
        <f t="shared" si="8"/>
        <v>0</v>
      </c>
    </row>
    <row r="41" spans="1:17" s="99" customFormat="1" ht="51" customHeight="1" x14ac:dyDescent="0.2">
      <c r="A41" s="33" t="s">
        <v>286</v>
      </c>
      <c r="B41" s="38" t="s">
        <v>243</v>
      </c>
      <c r="C41" s="38" t="s">
        <v>243</v>
      </c>
      <c r="D41" s="26" t="s">
        <v>186</v>
      </c>
      <c r="E41" s="39">
        <f>'Mem. Cálc. - P.O'!J223</f>
        <v>8</v>
      </c>
      <c r="F41" s="8" t="s">
        <v>30</v>
      </c>
      <c r="G41" s="8"/>
      <c r="H41" s="8">
        <f t="shared" si="6"/>
        <v>0</v>
      </c>
      <c r="I41" s="8">
        <f t="shared" si="8"/>
        <v>0</v>
      </c>
      <c r="O41" s="100">
        <v>48</v>
      </c>
    </row>
    <row r="42" spans="1:17" s="99" customFormat="1" ht="51" customHeight="1" x14ac:dyDescent="0.2">
      <c r="A42" s="33" t="s">
        <v>288</v>
      </c>
      <c r="B42" s="38" t="s">
        <v>244</v>
      </c>
      <c r="C42" s="38" t="s">
        <v>244</v>
      </c>
      <c r="D42" s="26" t="s">
        <v>224</v>
      </c>
      <c r="E42" s="39">
        <f>'Mem. Cálc. - P.O'!J232</f>
        <v>4</v>
      </c>
      <c r="F42" s="8" t="s">
        <v>30</v>
      </c>
      <c r="G42" s="8"/>
      <c r="H42" s="8">
        <f t="shared" si="6"/>
        <v>0</v>
      </c>
      <c r="I42" s="8">
        <f t="shared" si="8"/>
        <v>0</v>
      </c>
      <c r="O42" s="100"/>
    </row>
    <row r="43" spans="1:17" ht="51" customHeight="1" x14ac:dyDescent="0.25">
      <c r="A43" s="33" t="s">
        <v>292</v>
      </c>
      <c r="B43" s="66" t="s">
        <v>169</v>
      </c>
      <c r="C43" s="30" t="s">
        <v>173</v>
      </c>
      <c r="D43" s="26" t="s">
        <v>134</v>
      </c>
      <c r="E43" s="39">
        <f>'Mem. Cálc. - P.O'!J242</f>
        <v>17</v>
      </c>
      <c r="F43" s="8" t="s">
        <v>30</v>
      </c>
      <c r="G43" s="27"/>
      <c r="H43" s="27">
        <f t="shared" si="6"/>
        <v>0</v>
      </c>
      <c r="I43" s="27">
        <f t="shared" si="8"/>
        <v>0</v>
      </c>
    </row>
    <row r="44" spans="1:17" ht="16.5" customHeight="1" x14ac:dyDescent="0.25">
      <c r="A44" s="131" t="str">
        <f>"TOTAL (Item "&amp;A30&amp;"):"</f>
        <v>TOTAL (Item 5):</v>
      </c>
      <c r="B44" s="131"/>
      <c r="C44" s="131"/>
      <c r="D44" s="131"/>
      <c r="E44" s="131"/>
      <c r="F44" s="131"/>
      <c r="G44" s="131"/>
      <c r="H44" s="131"/>
      <c r="I44" s="49">
        <f>SUM(I31:I43)</f>
        <v>0</v>
      </c>
    </row>
    <row r="45" spans="1:17" s="1" customFormat="1" ht="16.5" customHeight="1" x14ac:dyDescent="0.25">
      <c r="A45" s="31">
        <v>6</v>
      </c>
      <c r="B45" s="32" t="s">
        <v>73</v>
      </c>
      <c r="C45" s="47" t="s">
        <v>73</v>
      </c>
      <c r="D45" s="129" t="s">
        <v>48</v>
      </c>
      <c r="E45" s="129"/>
      <c r="F45" s="129"/>
      <c r="G45" s="129"/>
      <c r="H45" s="129"/>
      <c r="I45" s="129"/>
      <c r="K45" s="7"/>
      <c r="L45" s="29"/>
      <c r="M45" s="29"/>
      <c r="Q45" s="13"/>
    </row>
    <row r="46" spans="1:17" ht="25.5" customHeight="1" x14ac:dyDescent="0.25">
      <c r="A46" s="15" t="s">
        <v>154</v>
      </c>
      <c r="B46" s="66" t="s">
        <v>170</v>
      </c>
      <c r="C46" s="30" t="s">
        <v>173</v>
      </c>
      <c r="D46" s="26" t="s">
        <v>116</v>
      </c>
      <c r="E46" s="39">
        <f>'Mem. Cálc. - P.O'!J254</f>
        <v>6021.63</v>
      </c>
      <c r="F46" s="8" t="s">
        <v>28</v>
      </c>
      <c r="G46" s="27"/>
      <c r="H46" s="27">
        <f t="shared" ref="H46:H53" si="9">(G46+(G46*$H$6))</f>
        <v>0</v>
      </c>
      <c r="I46" s="27">
        <f t="shared" ref="I46:I53" si="10">E46*H46</f>
        <v>0</v>
      </c>
      <c r="K46" s="28"/>
      <c r="L46" s="28"/>
    </row>
    <row r="47" spans="1:17" ht="25.5" customHeight="1" x14ac:dyDescent="0.25">
      <c r="A47" s="15" t="s">
        <v>155</v>
      </c>
      <c r="B47" s="38" t="s">
        <v>171</v>
      </c>
      <c r="C47" s="30" t="s">
        <v>173</v>
      </c>
      <c r="D47" s="26" t="s">
        <v>117</v>
      </c>
      <c r="E47" s="39">
        <f>'Mem. Cálc. - P.O'!J258</f>
        <v>1445.19</v>
      </c>
      <c r="F47" s="8" t="s">
        <v>29</v>
      </c>
      <c r="G47" s="27"/>
      <c r="H47" s="27">
        <f t="shared" si="9"/>
        <v>0</v>
      </c>
      <c r="I47" s="27">
        <f t="shared" si="10"/>
        <v>0</v>
      </c>
      <c r="K47" s="28"/>
      <c r="L47" s="28"/>
    </row>
    <row r="48" spans="1:17" ht="25.5" customHeight="1" x14ac:dyDescent="0.25">
      <c r="A48" s="15" t="s">
        <v>156</v>
      </c>
      <c r="B48" s="38" t="s">
        <v>240</v>
      </c>
      <c r="C48" s="30" t="s">
        <v>173</v>
      </c>
      <c r="D48" s="26" t="s">
        <v>241</v>
      </c>
      <c r="E48" s="39">
        <f>'Mem. Cálc. - P.O'!J262</f>
        <v>14596.42</v>
      </c>
      <c r="F48" s="8" t="s">
        <v>118</v>
      </c>
      <c r="G48" s="27"/>
      <c r="H48" s="27">
        <f t="shared" si="9"/>
        <v>0</v>
      </c>
      <c r="I48" s="27">
        <f t="shared" si="10"/>
        <v>0</v>
      </c>
      <c r="K48" s="28"/>
      <c r="L48" s="28"/>
    </row>
    <row r="49" spans="1:12" ht="25.5" customHeight="1" x14ac:dyDescent="0.25">
      <c r="A49" s="15" t="s">
        <v>157</v>
      </c>
      <c r="B49" s="38">
        <v>100576</v>
      </c>
      <c r="C49" s="30" t="s">
        <v>183</v>
      </c>
      <c r="D49" s="26" t="s">
        <v>162</v>
      </c>
      <c r="E49" s="39">
        <f>'Mem. Cálc. - P.O'!J266</f>
        <v>6021.63</v>
      </c>
      <c r="F49" s="8" t="s">
        <v>28</v>
      </c>
      <c r="G49" s="27"/>
      <c r="H49" s="27">
        <f t="shared" si="9"/>
        <v>0</v>
      </c>
      <c r="I49" s="27">
        <f t="shared" si="10"/>
        <v>0</v>
      </c>
      <c r="K49" s="28"/>
      <c r="L49" s="28"/>
    </row>
    <row r="50" spans="1:12" ht="25.5" customHeight="1" x14ac:dyDescent="0.25">
      <c r="A50" s="15" t="s">
        <v>158</v>
      </c>
      <c r="B50" s="38" t="s">
        <v>172</v>
      </c>
      <c r="C50" s="30" t="s">
        <v>173</v>
      </c>
      <c r="D50" s="26" t="s">
        <v>124</v>
      </c>
      <c r="E50" s="39">
        <f>'Mem. Cálc. - P.O'!J275</f>
        <v>997</v>
      </c>
      <c r="F50" s="8" t="s">
        <v>31</v>
      </c>
      <c r="G50" s="27"/>
      <c r="H50" s="27">
        <f t="shared" si="9"/>
        <v>0</v>
      </c>
      <c r="I50" s="27">
        <f t="shared" si="10"/>
        <v>0</v>
      </c>
      <c r="K50" s="28"/>
      <c r="L50" s="28"/>
    </row>
    <row r="51" spans="1:12" ht="25.5" customHeight="1" x14ac:dyDescent="0.25">
      <c r="A51" s="15" t="s">
        <v>159</v>
      </c>
      <c r="B51" s="38">
        <v>94274</v>
      </c>
      <c r="C51" s="30" t="s">
        <v>183</v>
      </c>
      <c r="D51" s="26" t="s">
        <v>126</v>
      </c>
      <c r="E51" s="39">
        <f>'Mem. Cálc. - P.O'!J297</f>
        <v>1099.8800000000001</v>
      </c>
      <c r="F51" s="8" t="s">
        <v>31</v>
      </c>
      <c r="G51" s="27"/>
      <c r="H51" s="27">
        <f t="shared" si="9"/>
        <v>0</v>
      </c>
      <c r="I51" s="27">
        <f t="shared" si="10"/>
        <v>0</v>
      </c>
      <c r="K51" s="28"/>
      <c r="L51" s="28"/>
    </row>
    <row r="52" spans="1:12" ht="25.5" customHeight="1" x14ac:dyDescent="0.25">
      <c r="A52" s="15" t="s">
        <v>160</v>
      </c>
      <c r="B52" s="38">
        <v>92407</v>
      </c>
      <c r="C52" s="30" t="s">
        <v>183</v>
      </c>
      <c r="D52" s="26" t="s">
        <v>142</v>
      </c>
      <c r="E52" s="39">
        <f>'Mem. Cálc. - P.O'!J308</f>
        <v>6021.63</v>
      </c>
      <c r="F52" s="8" t="s">
        <v>28</v>
      </c>
      <c r="G52" s="27"/>
      <c r="H52" s="27">
        <f t="shared" si="9"/>
        <v>0</v>
      </c>
      <c r="I52" s="27">
        <f t="shared" si="10"/>
        <v>0</v>
      </c>
      <c r="K52" s="28"/>
      <c r="L52" s="28"/>
    </row>
    <row r="53" spans="1:12" ht="25.5" customHeight="1" x14ac:dyDescent="0.25">
      <c r="A53" s="15" t="s">
        <v>161</v>
      </c>
      <c r="B53" s="38">
        <v>94288</v>
      </c>
      <c r="C53" s="30" t="s">
        <v>183</v>
      </c>
      <c r="D53" s="26" t="s">
        <v>143</v>
      </c>
      <c r="E53" s="39">
        <f>'Mem. Cálc. - P.O'!J319</f>
        <v>1661.95</v>
      </c>
      <c r="F53" s="8" t="s">
        <v>31</v>
      </c>
      <c r="G53" s="27"/>
      <c r="H53" s="27">
        <f t="shared" si="9"/>
        <v>0</v>
      </c>
      <c r="I53" s="27">
        <f t="shared" si="10"/>
        <v>0</v>
      </c>
      <c r="K53" s="28"/>
      <c r="L53" s="28"/>
    </row>
    <row r="54" spans="1:12" ht="16.5" customHeight="1" x14ac:dyDescent="0.25">
      <c r="A54" s="131" t="str">
        <f>"SUB-TOTAL (Item "&amp;A45&amp;"):"</f>
        <v>SUB-TOTAL (Item 6):</v>
      </c>
      <c r="B54" s="131"/>
      <c r="C54" s="131"/>
      <c r="D54" s="131"/>
      <c r="E54" s="131"/>
      <c r="F54" s="131"/>
      <c r="G54" s="131"/>
      <c r="H54" s="131"/>
      <c r="I54" s="49">
        <f>SUM(I46:I53)</f>
        <v>0</v>
      </c>
    </row>
    <row r="55" spans="1:12" ht="16.5" customHeight="1" x14ac:dyDescent="0.25">
      <c r="A55" s="149" t="s">
        <v>47</v>
      </c>
      <c r="B55" s="149"/>
      <c r="C55" s="149"/>
      <c r="D55" s="149"/>
      <c r="E55" s="149"/>
      <c r="F55" s="149"/>
      <c r="G55" s="149"/>
      <c r="H55" s="149"/>
      <c r="I55" s="50">
        <f>I12+I19+I25+I29+I44+I54</f>
        <v>0</v>
      </c>
      <c r="J55" s="28"/>
    </row>
    <row r="56" spans="1:12" ht="16.5" customHeight="1" x14ac:dyDescent="0.25">
      <c r="A56" s="150" t="s">
        <v>46</v>
      </c>
      <c r="B56" s="151"/>
      <c r="C56" s="151"/>
      <c r="D56" s="151"/>
      <c r="E56" s="151"/>
      <c r="F56" s="151"/>
      <c r="G56" s="151"/>
      <c r="H56" s="151"/>
      <c r="I56" s="152"/>
    </row>
    <row r="57" spans="1:12" ht="21" customHeight="1" x14ac:dyDescent="0.25">
      <c r="A57" s="153" t="s">
        <v>45</v>
      </c>
      <c r="B57" s="154"/>
      <c r="C57" s="154"/>
      <c r="D57" s="154"/>
      <c r="E57" s="154"/>
      <c r="F57" s="154"/>
      <c r="G57" s="154"/>
      <c r="H57" s="154"/>
      <c r="I57" s="155"/>
    </row>
    <row r="58" spans="1:12" ht="25.5" customHeight="1" x14ac:dyDescent="0.25">
      <c r="A58" s="153" t="s">
        <v>44</v>
      </c>
      <c r="B58" s="154"/>
      <c r="C58" s="154"/>
      <c r="D58" s="154"/>
      <c r="E58" s="154"/>
      <c r="F58" s="154"/>
      <c r="G58" s="154"/>
      <c r="H58" s="154"/>
      <c r="I58" s="155"/>
    </row>
    <row r="59" spans="1:12" ht="16.5" customHeight="1" x14ac:dyDescent="0.25">
      <c r="A59" s="153" t="s">
        <v>43</v>
      </c>
      <c r="B59" s="154"/>
      <c r="C59" s="154"/>
      <c r="D59" s="154"/>
      <c r="E59" s="154"/>
      <c r="F59" s="154"/>
      <c r="G59" s="154"/>
      <c r="H59" s="154"/>
      <c r="I59" s="155"/>
    </row>
    <row r="60" spans="1:12" ht="25.5" customHeight="1" x14ac:dyDescent="0.25">
      <c r="A60" s="153" t="s">
        <v>42</v>
      </c>
      <c r="B60" s="154"/>
      <c r="C60" s="154"/>
      <c r="D60" s="154"/>
      <c r="E60" s="154"/>
      <c r="F60" s="154"/>
      <c r="G60" s="154"/>
      <c r="H60" s="154"/>
      <c r="I60" s="155"/>
    </row>
    <row r="61" spans="1:12" ht="24" customHeight="1" x14ac:dyDescent="0.25">
      <c r="A61" s="153" t="s">
        <v>41</v>
      </c>
      <c r="B61" s="154"/>
      <c r="C61" s="154"/>
      <c r="D61" s="154"/>
      <c r="E61" s="154"/>
      <c r="F61" s="154"/>
      <c r="G61" s="154"/>
      <c r="H61" s="154"/>
      <c r="I61" s="155"/>
    </row>
    <row r="62" spans="1:12" ht="16.5" customHeight="1" x14ac:dyDescent="0.25">
      <c r="A62" s="153" t="s">
        <v>40</v>
      </c>
      <c r="B62" s="154"/>
      <c r="C62" s="154"/>
      <c r="D62" s="154"/>
      <c r="E62" s="154"/>
      <c r="F62" s="154"/>
      <c r="G62" s="154"/>
      <c r="H62" s="154"/>
      <c r="I62" s="155"/>
    </row>
    <row r="63" spans="1:12" ht="24.75" customHeight="1" x14ac:dyDescent="0.25">
      <c r="A63" s="153" t="s">
        <v>39</v>
      </c>
      <c r="B63" s="154"/>
      <c r="C63" s="154"/>
      <c r="D63" s="154"/>
      <c r="E63" s="154"/>
      <c r="F63" s="154"/>
      <c r="G63" s="154"/>
      <c r="H63" s="154"/>
      <c r="I63" s="155"/>
    </row>
    <row r="64" spans="1:12" ht="25.5" customHeight="1" x14ac:dyDescent="0.25">
      <c r="A64" s="146" t="s">
        <v>38</v>
      </c>
      <c r="B64" s="147"/>
      <c r="C64" s="147"/>
      <c r="D64" s="147"/>
      <c r="E64" s="147"/>
      <c r="F64" s="147"/>
      <c r="G64" s="147"/>
      <c r="H64" s="147"/>
      <c r="I64" s="148"/>
    </row>
  </sheetData>
  <mergeCells count="31">
    <mergeCell ref="D30:I30"/>
    <mergeCell ref="A54:H54"/>
    <mergeCell ref="A64:I64"/>
    <mergeCell ref="D45:I45"/>
    <mergeCell ref="A44:H44"/>
    <mergeCell ref="A55:H55"/>
    <mergeCell ref="A56:I56"/>
    <mergeCell ref="A57:I57"/>
    <mergeCell ref="A58:I58"/>
    <mergeCell ref="A59:I59"/>
    <mergeCell ref="A60:I60"/>
    <mergeCell ref="A61:I61"/>
    <mergeCell ref="A62:I62"/>
    <mergeCell ref="A63:I63"/>
    <mergeCell ref="A8:I8"/>
    <mergeCell ref="D10:I10"/>
    <mergeCell ref="A12:H12"/>
    <mergeCell ref="D13:I13"/>
    <mergeCell ref="A1:I3"/>
    <mergeCell ref="A4:I4"/>
    <mergeCell ref="A5:I5"/>
    <mergeCell ref="A6:B7"/>
    <mergeCell ref="G6:G7"/>
    <mergeCell ref="H6:H7"/>
    <mergeCell ref="I6:I7"/>
    <mergeCell ref="C6:F7"/>
    <mergeCell ref="D20:I20"/>
    <mergeCell ref="A25:H25"/>
    <mergeCell ref="D26:I26"/>
    <mergeCell ref="A29:H29"/>
    <mergeCell ref="A19:H19"/>
  </mergeCells>
  <phoneticPr fontId="16" type="noConversion"/>
  <pageMargins left="0.19685039370078741" right="0.19685039370078741" top="0.19685039370078741" bottom="1.1811023622047245" header="0.31496062992125984" footer="0.31496062992125984"/>
  <pageSetup paperSize="9" scale="69" fitToHeight="0" orientation="landscape" verticalDpi="4294967295" r:id="rId1"/>
  <headerFooter>
    <oddFooter>Página &amp;P de &amp;N</oddFooter>
  </headerFooter>
  <rowBreaks count="2" manualBreakCount="2">
    <brk id="34" max="8" man="1"/>
    <brk id="55"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9"/>
  <sheetViews>
    <sheetView view="pageBreakPreview" zoomScaleNormal="100" zoomScaleSheetLayoutView="100" workbookViewId="0">
      <selection activeCell="B19" sqref="B19:J19"/>
    </sheetView>
  </sheetViews>
  <sheetFormatPr defaultRowHeight="16.5" customHeight="1" x14ac:dyDescent="0.25"/>
  <cols>
    <col min="1" max="1" width="14.7109375" style="12" customWidth="1"/>
    <col min="2" max="2" width="31.5703125" style="12" customWidth="1"/>
    <col min="3" max="10" width="14.7109375" style="12" customWidth="1"/>
    <col min="11" max="11" width="9.140625" style="12"/>
    <col min="12" max="12" width="11.28515625" style="12" bestFit="1" customWidth="1"/>
    <col min="13" max="16384" width="9.140625" style="12"/>
  </cols>
  <sheetData>
    <row r="1" spans="1:10" s="1" customFormat="1" ht="16.5" customHeight="1" x14ac:dyDescent="0.2">
      <c r="A1" s="199" t="s">
        <v>25</v>
      </c>
      <c r="B1" s="199"/>
      <c r="C1" s="199"/>
      <c r="D1" s="199"/>
      <c r="E1" s="199"/>
      <c r="F1" s="199"/>
      <c r="G1" s="199"/>
      <c r="H1" s="199"/>
      <c r="I1" s="199"/>
      <c r="J1" s="199"/>
    </row>
    <row r="2" spans="1:10" s="1" customFormat="1" ht="16.5" customHeight="1" x14ac:dyDescent="0.2">
      <c r="A2" s="199"/>
      <c r="B2" s="199"/>
      <c r="C2" s="199"/>
      <c r="D2" s="199"/>
      <c r="E2" s="199"/>
      <c r="F2" s="199"/>
      <c r="G2" s="199"/>
      <c r="H2" s="199"/>
      <c r="I2" s="199"/>
      <c r="J2" s="199"/>
    </row>
    <row r="3" spans="1:10" s="1" customFormat="1" ht="16.5" customHeight="1" x14ac:dyDescent="0.2">
      <c r="A3" s="199"/>
      <c r="B3" s="199"/>
      <c r="C3" s="199"/>
      <c r="D3" s="199"/>
      <c r="E3" s="199"/>
      <c r="F3" s="199"/>
      <c r="G3" s="199"/>
      <c r="H3" s="199"/>
      <c r="I3" s="199"/>
      <c r="J3" s="199"/>
    </row>
    <row r="4" spans="1:10" s="1" customFormat="1" ht="16.5" customHeight="1" x14ac:dyDescent="0.2">
      <c r="A4" s="200" t="str">
        <f>'Plan. Orçamentária'!A4:I4</f>
        <v>OBRA POR EXECUÇÃO INDIRETA</v>
      </c>
      <c r="B4" s="200"/>
      <c r="C4" s="200"/>
      <c r="D4" s="200"/>
      <c r="E4" s="200"/>
      <c r="F4" s="200"/>
      <c r="G4" s="200"/>
      <c r="H4" s="200"/>
      <c r="I4" s="200"/>
      <c r="J4" s="200"/>
    </row>
    <row r="5" spans="1:10" s="1" customFormat="1" ht="16.5" customHeight="1" x14ac:dyDescent="0.2">
      <c r="A5" s="135" t="str">
        <f>'Plan. Orçamentária'!A5</f>
        <v>Setor requisitante: Secretaria Municipal de Obras e Serviços Urbanos</v>
      </c>
      <c r="B5" s="135"/>
      <c r="C5" s="135"/>
      <c r="D5" s="135"/>
      <c r="E5" s="135"/>
      <c r="F5" s="135"/>
      <c r="G5" s="135"/>
      <c r="H5" s="135"/>
      <c r="I5" s="135"/>
      <c r="J5" s="135"/>
    </row>
    <row r="6" spans="1:10" s="1" customFormat="1" ht="16.5" customHeight="1" x14ac:dyDescent="0.2">
      <c r="A6" s="135" t="str">
        <f>'Plan. Orçamentária'!A6</f>
        <v>Objeto:</v>
      </c>
      <c r="B6" s="170" t="str">
        <f>'Plan. Orçamentária'!C6</f>
        <v>LOTE 02 - Pavimentação de via em piso de concreto pré-moldado intertravado, tipo Sextavado - Rua Custódio Costa Lage, Rua Gabriel Martins Quintão e Avenida Nuno Lage, bairro Santa Maria - Nova Era/MG</v>
      </c>
      <c r="C6" s="170"/>
      <c r="D6" s="170"/>
      <c r="E6" s="170"/>
      <c r="F6" s="170"/>
      <c r="G6" s="170"/>
      <c r="H6" s="136" t="str">
        <f>'Plan. Orçamentária'!G6</f>
        <v>BDI:</v>
      </c>
      <c r="I6" s="201">
        <f>'Plan. Orçamentária'!H6</f>
        <v>0.30380000000000001</v>
      </c>
      <c r="J6" s="202">
        <f ca="1">'Plan. Orçamentária'!I6</f>
        <v>44887</v>
      </c>
    </row>
    <row r="7" spans="1:10" s="1" customFormat="1" ht="16.5" customHeight="1" x14ac:dyDescent="0.2">
      <c r="A7" s="135"/>
      <c r="B7" s="170"/>
      <c r="C7" s="170"/>
      <c r="D7" s="170"/>
      <c r="E7" s="170"/>
      <c r="F7" s="170"/>
      <c r="G7" s="170"/>
      <c r="H7" s="136"/>
      <c r="I7" s="135"/>
      <c r="J7" s="202"/>
    </row>
    <row r="8" spans="1:10" s="1" customFormat="1" ht="16.5" customHeight="1" x14ac:dyDescent="0.2">
      <c r="A8" s="200" t="s">
        <v>11</v>
      </c>
      <c r="B8" s="200"/>
      <c r="C8" s="200"/>
      <c r="D8" s="200"/>
      <c r="E8" s="200"/>
      <c r="F8" s="200"/>
      <c r="G8" s="200"/>
      <c r="H8" s="200"/>
      <c r="I8" s="200"/>
      <c r="J8" s="200"/>
    </row>
    <row r="9" spans="1:10" s="1" customFormat="1" ht="16.5" customHeight="1" x14ac:dyDescent="0.2">
      <c r="A9" s="48">
        <f>'Plan. Orçamentária'!A10</f>
        <v>1</v>
      </c>
      <c r="B9" s="203" t="str">
        <f>'Plan. Orçamentária'!D10</f>
        <v>MOBILIZAÇÃO E DESMOBILIZAÇÃO</v>
      </c>
      <c r="C9" s="203"/>
      <c r="D9" s="203"/>
      <c r="E9" s="203"/>
      <c r="F9" s="203"/>
      <c r="G9" s="203"/>
      <c r="H9" s="203"/>
      <c r="I9" s="203"/>
      <c r="J9" s="203"/>
    </row>
    <row r="10" spans="1:10" s="1" customFormat="1" ht="16.5" customHeight="1" x14ac:dyDescent="0.2">
      <c r="A10" s="175" t="s">
        <v>12</v>
      </c>
      <c r="B10" s="175"/>
      <c r="C10" s="175"/>
      <c r="D10" s="157" t="s">
        <v>22</v>
      </c>
      <c r="E10" s="157"/>
      <c r="F10" s="157" t="s">
        <v>23</v>
      </c>
      <c r="G10" s="157"/>
      <c r="H10" s="157" t="str">
        <f>'Plan. Orçamentária'!D11</f>
        <v>Mobilização e desmobilização de obra em centro urbano ou região limítrofe com valor entre 1.000.000,01 e 3.000.000,00</v>
      </c>
      <c r="I10" s="157"/>
      <c r="J10" s="157"/>
    </row>
    <row r="11" spans="1:10" s="1" customFormat="1" ht="16.5" customHeight="1" x14ac:dyDescent="0.2">
      <c r="A11" s="175"/>
      <c r="B11" s="175"/>
      <c r="C11" s="175"/>
      <c r="D11" s="157"/>
      <c r="E11" s="157"/>
      <c r="F11" s="157"/>
      <c r="G11" s="157"/>
      <c r="H11" s="157"/>
      <c r="I11" s="157"/>
      <c r="J11" s="157"/>
    </row>
    <row r="12" spans="1:10" s="1" customFormat="1" ht="16.5" customHeight="1" x14ac:dyDescent="0.2">
      <c r="A12" s="175"/>
      <c r="B12" s="175"/>
      <c r="C12" s="175"/>
      <c r="D12" s="157"/>
      <c r="E12" s="157"/>
      <c r="F12" s="157"/>
      <c r="G12" s="157"/>
      <c r="H12" s="157"/>
      <c r="I12" s="157"/>
      <c r="J12" s="157"/>
    </row>
    <row r="13" spans="1:10" s="1" customFormat="1" ht="16.5" customHeight="1" x14ac:dyDescent="0.2">
      <c r="A13" s="216">
        <v>0.3</v>
      </c>
      <c r="B13" s="216"/>
      <c r="C13" s="216"/>
      <c r="D13" s="213">
        <f>'Plan. Orçamentária'!I19+'Plan. Orçamentária'!I25+'Plan. Orçamentária'!I29+'Plan. Orçamentária'!I44+'Plan. Orçamentária'!I54</f>
        <v>0</v>
      </c>
      <c r="E13" s="213"/>
      <c r="F13" s="213">
        <f>D13/1.3038</f>
        <v>0</v>
      </c>
      <c r="G13" s="213"/>
      <c r="H13" s="213">
        <f>(F13*A13)/100</f>
        <v>0</v>
      </c>
      <c r="I13" s="213"/>
      <c r="J13" s="213"/>
    </row>
    <row r="14" spans="1:10" s="1" customFormat="1" ht="16.5" customHeight="1" x14ac:dyDescent="0.2">
      <c r="A14" s="16" t="str">
        <f>'Plan. Orçamentária'!A11</f>
        <v>1.1</v>
      </c>
      <c r="B14" s="204" t="str">
        <f>'Plan. Orçamentária'!D11</f>
        <v>Mobilização e desmobilização de obra em centro urbano ou região limítrofe com valor entre 1.000.000,01 e 3.000.000,00</v>
      </c>
      <c r="C14" s="205"/>
      <c r="D14" s="205"/>
      <c r="E14" s="205"/>
      <c r="F14" s="205"/>
      <c r="G14" s="205"/>
      <c r="H14" s="205"/>
      <c r="I14" s="205"/>
      <c r="J14" s="206"/>
    </row>
    <row r="15" spans="1:10" s="1" customFormat="1" ht="16.5" customHeight="1" x14ac:dyDescent="0.2">
      <c r="A15" s="175" t="s">
        <v>12</v>
      </c>
      <c r="B15" s="175"/>
      <c r="C15" s="175"/>
      <c r="D15" s="47" t="s">
        <v>13</v>
      </c>
      <c r="E15" s="47" t="s">
        <v>14</v>
      </c>
      <c r="F15" s="47" t="s">
        <v>15</v>
      </c>
      <c r="G15" s="47" t="s">
        <v>16</v>
      </c>
      <c r="H15" s="47" t="s">
        <v>17</v>
      </c>
      <c r="I15" s="47" t="s">
        <v>18</v>
      </c>
      <c r="J15" s="47" t="s">
        <v>19</v>
      </c>
    </row>
    <row r="16" spans="1:10" s="1" customFormat="1" ht="16.5" customHeight="1" x14ac:dyDescent="0.2">
      <c r="A16" s="189" t="s">
        <v>135</v>
      </c>
      <c r="B16" s="189"/>
      <c r="C16" s="189"/>
      <c r="D16" s="5"/>
      <c r="E16" s="5"/>
      <c r="F16" s="5"/>
      <c r="G16" s="5">
        <v>0.7</v>
      </c>
      <c r="H16" s="5"/>
      <c r="I16" s="5"/>
      <c r="J16" s="5">
        <f>((PRODUCT(D16:H16))-I16)</f>
        <v>0.7</v>
      </c>
    </row>
    <row r="17" spans="1:10" s="1" customFormat="1" ht="16.5" customHeight="1" x14ac:dyDescent="0.2">
      <c r="A17" s="189" t="s">
        <v>233</v>
      </c>
      <c r="B17" s="189"/>
      <c r="C17" s="189"/>
      <c r="D17" s="5"/>
      <c r="E17" s="5"/>
      <c r="F17" s="5"/>
      <c r="G17" s="5">
        <v>0.3</v>
      </c>
      <c r="H17" s="5"/>
      <c r="I17" s="5"/>
      <c r="J17" s="5">
        <f>((PRODUCT(D17:H17))-I17)</f>
        <v>0.3</v>
      </c>
    </row>
    <row r="18" spans="1:10" ht="16.5" customHeight="1" x14ac:dyDescent="0.25">
      <c r="A18" s="159" t="str">
        <f>"TOTAL - "&amp;'Plan. Orçamentária'!F11</f>
        <v>TOTAL - VB</v>
      </c>
      <c r="B18" s="159"/>
      <c r="C18" s="159"/>
      <c r="D18" s="159"/>
      <c r="E18" s="159"/>
      <c r="F18" s="159"/>
      <c r="G18" s="159"/>
      <c r="H18" s="159"/>
      <c r="I18" s="159"/>
      <c r="J18" s="41">
        <f>SUM(J16:J17)</f>
        <v>1</v>
      </c>
    </row>
    <row r="19" spans="1:10" s="1" customFormat="1" ht="16.5" customHeight="1" x14ac:dyDescent="0.2">
      <c r="A19" s="48">
        <f>'Plan. Orçamentária'!A13</f>
        <v>2</v>
      </c>
      <c r="B19" s="203" t="str">
        <f>'Plan. Orçamentária'!D13</f>
        <v>CANTEIRO DE OBRAS</v>
      </c>
      <c r="C19" s="203"/>
      <c r="D19" s="203"/>
      <c r="E19" s="203"/>
      <c r="F19" s="203"/>
      <c r="G19" s="203"/>
      <c r="H19" s="203"/>
      <c r="I19" s="203"/>
      <c r="J19" s="203"/>
    </row>
    <row r="20" spans="1:10" s="1" customFormat="1" ht="27.75" customHeight="1" x14ac:dyDescent="0.2">
      <c r="A20" s="16" t="str">
        <f>'Plan. Orçamentária'!A14</f>
        <v>2.1</v>
      </c>
      <c r="B20" s="215" t="str">
        <f>'Plan. Orçamentária'!D14</f>
        <v>Fornecimento e colocação de placa de obra em chapa galvanizada (3,00 x 1,50m) - em chapa galvanizada 0,26 afixadas com rebites 540 e parafusos 3/8, em estrutura metálica viga u 2" enrijecida com metalon 20 x 20, suporte em eucalipto autoclavado pintadas</v>
      </c>
      <c r="C20" s="215"/>
      <c r="D20" s="215"/>
      <c r="E20" s="215"/>
      <c r="F20" s="215"/>
      <c r="G20" s="215"/>
      <c r="H20" s="215"/>
      <c r="I20" s="215"/>
      <c r="J20" s="215"/>
    </row>
    <row r="21" spans="1:10" s="1" customFormat="1" ht="16.5" customHeight="1" x14ac:dyDescent="0.2">
      <c r="A21" s="175" t="s">
        <v>12</v>
      </c>
      <c r="B21" s="175"/>
      <c r="C21" s="175"/>
      <c r="D21" s="47" t="s">
        <v>13</v>
      </c>
      <c r="E21" s="47" t="s">
        <v>14</v>
      </c>
      <c r="F21" s="47" t="s">
        <v>15</v>
      </c>
      <c r="G21" s="47" t="s">
        <v>16</v>
      </c>
      <c r="H21" s="47" t="s">
        <v>17</v>
      </c>
      <c r="I21" s="47" t="s">
        <v>18</v>
      </c>
      <c r="J21" s="47" t="s">
        <v>19</v>
      </c>
    </row>
    <row r="22" spans="1:10" s="1" customFormat="1" ht="16.5" customHeight="1" x14ac:dyDescent="0.2">
      <c r="A22" s="189" t="s">
        <v>255</v>
      </c>
      <c r="B22" s="189"/>
      <c r="C22" s="189"/>
      <c r="D22" s="5"/>
      <c r="E22" s="5"/>
      <c r="F22" s="5"/>
      <c r="G22" s="5">
        <v>1</v>
      </c>
      <c r="H22" s="5"/>
      <c r="I22" s="5"/>
      <c r="J22" s="5">
        <f>((PRODUCT(D22:H22))-I22)</f>
        <v>1</v>
      </c>
    </row>
    <row r="23" spans="1:10" ht="16.5" customHeight="1" x14ac:dyDescent="0.25">
      <c r="A23" s="159" t="str">
        <f>"TOTAL - "&amp;'Plan. Orçamentária'!F14</f>
        <v>TOTAL - UN</v>
      </c>
      <c r="B23" s="159"/>
      <c r="C23" s="159"/>
      <c r="D23" s="159"/>
      <c r="E23" s="159"/>
      <c r="F23" s="159"/>
      <c r="G23" s="159"/>
      <c r="H23" s="159"/>
      <c r="I23" s="159"/>
      <c r="J23" s="41">
        <f>SUM(J22)</f>
        <v>1</v>
      </c>
    </row>
    <row r="24" spans="1:10" s="1" customFormat="1" ht="16.5" customHeight="1" x14ac:dyDescent="0.2">
      <c r="A24" s="16" t="str">
        <f>'Plan. Orçamentária'!A15</f>
        <v>2.2</v>
      </c>
      <c r="B24" s="215" t="str">
        <f>'Plan. Orçamentária'!D15</f>
        <v>Locação de banheiro químico, dimensão (110x120x230)cm, linha padrão, contendo uma (1) pia/higienizador de mãos, inclusive manutenção e mobilização/desmobilização</v>
      </c>
      <c r="C24" s="215"/>
      <c r="D24" s="215"/>
      <c r="E24" s="215"/>
      <c r="F24" s="215"/>
      <c r="G24" s="215"/>
      <c r="H24" s="215"/>
      <c r="I24" s="215"/>
      <c r="J24" s="215"/>
    </row>
    <row r="25" spans="1:10" s="1" customFormat="1" ht="16.5" customHeight="1" x14ac:dyDescent="0.2">
      <c r="A25" s="175" t="s">
        <v>12</v>
      </c>
      <c r="B25" s="175"/>
      <c r="C25" s="175"/>
      <c r="D25" s="47" t="s">
        <v>13</v>
      </c>
      <c r="E25" s="47" t="s">
        <v>14</v>
      </c>
      <c r="F25" s="47" t="s">
        <v>15</v>
      </c>
      <c r="G25" s="47" t="s">
        <v>16</v>
      </c>
      <c r="H25" s="47" t="s">
        <v>17</v>
      </c>
      <c r="I25" s="47" t="s">
        <v>18</v>
      </c>
      <c r="J25" s="47" t="s">
        <v>19</v>
      </c>
    </row>
    <row r="26" spans="1:10" s="1" customFormat="1" ht="16.5" customHeight="1" x14ac:dyDescent="0.2">
      <c r="A26" s="189" t="s">
        <v>81</v>
      </c>
      <c r="B26" s="189"/>
      <c r="C26" s="189"/>
      <c r="D26" s="5"/>
      <c r="E26" s="5"/>
      <c r="F26" s="5"/>
      <c r="G26" s="5">
        <v>4</v>
      </c>
      <c r="H26" s="5"/>
      <c r="I26" s="5"/>
      <c r="J26" s="5">
        <f>((PRODUCT(D26:H26))-I26)</f>
        <v>4</v>
      </c>
    </row>
    <row r="27" spans="1:10" ht="16.5" customHeight="1" x14ac:dyDescent="0.25">
      <c r="A27" s="159" t="str">
        <f>"TOTAL - "&amp;'Plan. Orçamentária'!F15</f>
        <v>TOTAL - MÊS</v>
      </c>
      <c r="B27" s="159"/>
      <c r="C27" s="159"/>
      <c r="D27" s="159"/>
      <c r="E27" s="159"/>
      <c r="F27" s="159"/>
      <c r="G27" s="159"/>
      <c r="H27" s="159"/>
      <c r="I27" s="159"/>
      <c r="J27" s="41">
        <f>SUM(J26)</f>
        <v>4</v>
      </c>
    </row>
    <row r="28" spans="1:10" s="1" customFormat="1" ht="25.5" customHeight="1" x14ac:dyDescent="0.2">
      <c r="A28" s="16" t="str">
        <f>'Plan. Orçamentária'!A16</f>
        <v>2.3</v>
      </c>
      <c r="B28" s="158" t="str">
        <f>'Plan. Orçamentária'!D16</f>
        <v>Locação de container com isolamento térmico, tipo 1, para escritório de obra/almoxarifado, com medidas referenciais de (6) metros de comprimentos, (2,3) metros de largura, (2,5) metros de altura útil interna, inclusive ar condicionado e ligações elétricas internas</v>
      </c>
      <c r="C28" s="158"/>
      <c r="D28" s="158"/>
      <c r="E28" s="158"/>
      <c r="F28" s="158"/>
      <c r="G28" s="158"/>
      <c r="H28" s="158"/>
      <c r="I28" s="158"/>
      <c r="J28" s="158"/>
    </row>
    <row r="29" spans="1:10" s="1" customFormat="1" ht="16.5" customHeight="1" x14ac:dyDescent="0.2">
      <c r="A29" s="175" t="s">
        <v>12</v>
      </c>
      <c r="B29" s="175"/>
      <c r="C29" s="175"/>
      <c r="D29" s="47" t="s">
        <v>13</v>
      </c>
      <c r="E29" s="47" t="s">
        <v>14</v>
      </c>
      <c r="F29" s="47" t="s">
        <v>15</v>
      </c>
      <c r="G29" s="47" t="s">
        <v>16</v>
      </c>
      <c r="H29" s="47" t="s">
        <v>17</v>
      </c>
      <c r="I29" s="47" t="s">
        <v>18</v>
      </c>
      <c r="J29" s="47" t="s">
        <v>19</v>
      </c>
    </row>
    <row r="30" spans="1:10" s="1" customFormat="1" ht="16.5" customHeight="1" x14ac:dyDescent="0.2">
      <c r="A30" s="189" t="s">
        <v>82</v>
      </c>
      <c r="B30" s="189"/>
      <c r="C30" s="189"/>
      <c r="D30" s="5"/>
      <c r="E30" s="5"/>
      <c r="F30" s="5"/>
      <c r="G30" s="5">
        <v>4</v>
      </c>
      <c r="H30" s="5"/>
      <c r="I30" s="5"/>
      <c r="J30" s="5">
        <f>((PRODUCT(D30:H30))-I30)</f>
        <v>4</v>
      </c>
    </row>
    <row r="31" spans="1:10" ht="16.5" customHeight="1" x14ac:dyDescent="0.25">
      <c r="A31" s="159" t="str">
        <f>"TOTAL - "&amp;'Plan. Orçamentária'!F16</f>
        <v>TOTAL - MÊS</v>
      </c>
      <c r="B31" s="159"/>
      <c r="C31" s="159"/>
      <c r="D31" s="159"/>
      <c r="E31" s="159"/>
      <c r="F31" s="159"/>
      <c r="G31" s="159"/>
      <c r="H31" s="159"/>
      <c r="I31" s="159"/>
      <c r="J31" s="41">
        <f>SUM(J30)</f>
        <v>4</v>
      </c>
    </row>
    <row r="32" spans="1:10" s="1" customFormat="1" ht="16.5" customHeight="1" x14ac:dyDescent="0.2">
      <c r="A32" s="16" t="str">
        <f>'Plan. Orçamentária'!A17</f>
        <v>2.4</v>
      </c>
      <c r="B32" s="158" t="str">
        <f>'Plan. Orçamentária'!D17</f>
        <v>Ligações provisórias para container tipo 1 (correspondente ao código ED-16348)</v>
      </c>
      <c r="C32" s="158"/>
      <c r="D32" s="158"/>
      <c r="E32" s="158"/>
      <c r="F32" s="158"/>
      <c r="G32" s="158"/>
      <c r="H32" s="158"/>
      <c r="I32" s="158"/>
      <c r="J32" s="158"/>
    </row>
    <row r="33" spans="1:10" s="1" customFormat="1" ht="16.5" customHeight="1" x14ac:dyDescent="0.2">
      <c r="A33" s="175" t="s">
        <v>12</v>
      </c>
      <c r="B33" s="175"/>
      <c r="C33" s="175"/>
      <c r="D33" s="47" t="s">
        <v>13</v>
      </c>
      <c r="E33" s="47" t="s">
        <v>14</v>
      </c>
      <c r="F33" s="47" t="s">
        <v>15</v>
      </c>
      <c r="G33" s="47" t="s">
        <v>16</v>
      </c>
      <c r="H33" s="47" t="s">
        <v>17</v>
      </c>
      <c r="I33" s="47" t="s">
        <v>18</v>
      </c>
      <c r="J33" s="47" t="s">
        <v>19</v>
      </c>
    </row>
    <row r="34" spans="1:10" s="1" customFormat="1" ht="25.5" customHeight="1" x14ac:dyDescent="0.2">
      <c r="A34" s="189" t="s">
        <v>83</v>
      </c>
      <c r="B34" s="189"/>
      <c r="C34" s="189"/>
      <c r="D34" s="5"/>
      <c r="E34" s="5"/>
      <c r="F34" s="5"/>
      <c r="G34" s="5">
        <v>1</v>
      </c>
      <c r="H34" s="5"/>
      <c r="I34" s="5"/>
      <c r="J34" s="5">
        <f>((PRODUCT(D34:H34))-I34)</f>
        <v>1</v>
      </c>
    </row>
    <row r="35" spans="1:10" ht="16.5" customHeight="1" x14ac:dyDescent="0.25">
      <c r="A35" s="159" t="str">
        <f>"TOTAL - "&amp;'Plan. Orçamentária'!F17</f>
        <v>TOTAL - UN</v>
      </c>
      <c r="B35" s="159"/>
      <c r="C35" s="159"/>
      <c r="D35" s="159"/>
      <c r="E35" s="159"/>
      <c r="F35" s="159"/>
      <c r="G35" s="159"/>
      <c r="H35" s="159"/>
      <c r="I35" s="159"/>
      <c r="J35" s="41">
        <f>SUM(J34)</f>
        <v>1</v>
      </c>
    </row>
    <row r="36" spans="1:10" s="1" customFormat="1" ht="16.5" customHeight="1" x14ac:dyDescent="0.2">
      <c r="A36" s="16" t="str">
        <f>'Plan. Orçamentária'!A18</f>
        <v>2.5</v>
      </c>
      <c r="B36" s="158" t="str">
        <f>'Plan. Orçamentária'!D18</f>
        <v>Mobilização e desmobilização de container, inclusive instalação e transporte com caminhão guindauto (munck)</v>
      </c>
      <c r="C36" s="158"/>
      <c r="D36" s="158"/>
      <c r="E36" s="158"/>
      <c r="F36" s="158"/>
      <c r="G36" s="158"/>
      <c r="H36" s="158"/>
      <c r="I36" s="158"/>
      <c r="J36" s="158"/>
    </row>
    <row r="37" spans="1:10" s="1" customFormat="1" ht="16.5" customHeight="1" x14ac:dyDescent="0.2">
      <c r="A37" s="175" t="s">
        <v>12</v>
      </c>
      <c r="B37" s="175"/>
      <c r="C37" s="175"/>
      <c r="D37" s="47" t="s">
        <v>13</v>
      </c>
      <c r="E37" s="47" t="s">
        <v>14</v>
      </c>
      <c r="F37" s="47" t="s">
        <v>15</v>
      </c>
      <c r="G37" s="47" t="s">
        <v>16</v>
      </c>
      <c r="H37" s="47" t="s">
        <v>17</v>
      </c>
      <c r="I37" s="47" t="s">
        <v>18</v>
      </c>
      <c r="J37" s="47" t="s">
        <v>19</v>
      </c>
    </row>
    <row r="38" spans="1:10" s="1" customFormat="1" ht="16.5" customHeight="1" x14ac:dyDescent="0.2">
      <c r="A38" s="189" t="s">
        <v>84</v>
      </c>
      <c r="B38" s="189"/>
      <c r="C38" s="189"/>
      <c r="D38" s="5"/>
      <c r="E38" s="5"/>
      <c r="F38" s="5"/>
      <c r="G38" s="5">
        <v>0.7</v>
      </c>
      <c r="H38" s="5"/>
      <c r="I38" s="5"/>
      <c r="J38" s="5">
        <f>PRODUCT(D38:I38)</f>
        <v>0.7</v>
      </c>
    </row>
    <row r="39" spans="1:10" s="1" customFormat="1" ht="16.5" customHeight="1" x14ac:dyDescent="0.2">
      <c r="A39" s="189" t="s">
        <v>85</v>
      </c>
      <c r="B39" s="189"/>
      <c r="C39" s="189"/>
      <c r="D39" s="5"/>
      <c r="E39" s="5"/>
      <c r="F39" s="5"/>
      <c r="G39" s="5">
        <v>0.3</v>
      </c>
      <c r="H39" s="5"/>
      <c r="I39" s="5"/>
      <c r="J39" s="5">
        <f>PRODUCT(D39:I39)</f>
        <v>0.3</v>
      </c>
    </row>
    <row r="40" spans="1:10" ht="16.5" customHeight="1" x14ac:dyDescent="0.25">
      <c r="A40" s="159" t="str">
        <f>"TOTAL - "&amp;'Plan. Orçamentária'!F18</f>
        <v>TOTAL - UN</v>
      </c>
      <c r="B40" s="159"/>
      <c r="C40" s="159"/>
      <c r="D40" s="159"/>
      <c r="E40" s="159"/>
      <c r="F40" s="159"/>
      <c r="G40" s="159"/>
      <c r="H40" s="159"/>
      <c r="I40" s="159"/>
      <c r="J40" s="41">
        <f>SUM(J38:J39)</f>
        <v>1</v>
      </c>
    </row>
    <row r="41" spans="1:10" ht="16.5" customHeight="1" x14ac:dyDescent="0.25">
      <c r="A41" s="48">
        <f>'Plan. Orçamentária'!A20</f>
        <v>3</v>
      </c>
      <c r="B41" s="214" t="str">
        <f>'Plan. Orçamentária'!D20</f>
        <v>ADMINISTRAÇAO LOCAL</v>
      </c>
      <c r="C41" s="214"/>
      <c r="D41" s="214"/>
      <c r="E41" s="214"/>
      <c r="F41" s="214"/>
      <c r="G41" s="214"/>
      <c r="H41" s="214"/>
      <c r="I41" s="214"/>
      <c r="J41" s="214"/>
    </row>
    <row r="42" spans="1:10" s="1" customFormat="1" ht="16.5" customHeight="1" x14ac:dyDescent="0.2">
      <c r="A42" s="16" t="str">
        <f>'Plan. Orçamentária'!A21</f>
        <v>3.1</v>
      </c>
      <c r="B42" s="215" t="str">
        <f>'Plan. Orçamentária'!D21</f>
        <v>Engenheiro/Arquiteto Junior</v>
      </c>
      <c r="C42" s="215"/>
      <c r="D42" s="215"/>
      <c r="E42" s="215"/>
      <c r="F42" s="215"/>
      <c r="G42" s="215"/>
      <c r="H42" s="215"/>
      <c r="I42" s="215"/>
      <c r="J42" s="215"/>
    </row>
    <row r="43" spans="1:10" s="1" customFormat="1" ht="25.5" x14ac:dyDescent="0.2">
      <c r="A43" s="175" t="s">
        <v>12</v>
      </c>
      <c r="B43" s="175"/>
      <c r="C43" s="175"/>
      <c r="D43" s="46" t="s">
        <v>13</v>
      </c>
      <c r="E43" s="46" t="s">
        <v>14</v>
      </c>
      <c r="F43" s="51" t="s">
        <v>87</v>
      </c>
      <c r="G43" s="51" t="s">
        <v>88</v>
      </c>
      <c r="H43" s="51" t="s">
        <v>89</v>
      </c>
      <c r="I43" s="51" t="s">
        <v>27</v>
      </c>
      <c r="J43" s="46" t="s">
        <v>19</v>
      </c>
    </row>
    <row r="44" spans="1:10" s="1" customFormat="1" ht="16.5" customHeight="1" x14ac:dyDescent="0.2">
      <c r="A44" s="189" t="s">
        <v>230</v>
      </c>
      <c r="B44" s="189"/>
      <c r="C44" s="189"/>
      <c r="D44" s="5"/>
      <c r="E44" s="5"/>
      <c r="F44" s="5">
        <v>1</v>
      </c>
      <c r="G44" s="5">
        <v>22</v>
      </c>
      <c r="H44" s="5">
        <v>4</v>
      </c>
      <c r="I44" s="5"/>
      <c r="J44" s="5">
        <f>((PRODUCT(D44:H44))-I44)</f>
        <v>88</v>
      </c>
    </row>
    <row r="45" spans="1:10" ht="16.5" customHeight="1" x14ac:dyDescent="0.25">
      <c r="A45" s="159" t="str">
        <f>"TOTAL - " &amp; "H"</f>
        <v>TOTAL - H</v>
      </c>
      <c r="B45" s="159"/>
      <c r="C45" s="159"/>
      <c r="D45" s="159"/>
      <c r="E45" s="159"/>
      <c r="F45" s="159"/>
      <c r="G45" s="159"/>
      <c r="H45" s="159"/>
      <c r="I45" s="159"/>
      <c r="J45" s="41">
        <f>SUM(J44)</f>
        <v>88</v>
      </c>
    </row>
    <row r="46" spans="1:10" s="1" customFormat="1" ht="14.25" x14ac:dyDescent="0.2">
      <c r="A46" s="16" t="str">
        <f>'Plan. Orçamentária'!A22</f>
        <v>3.2</v>
      </c>
      <c r="B46" s="215" t="str">
        <f>'Plan. Orçamentária'!D22</f>
        <v>Encarregado geral com encargos complementares</v>
      </c>
      <c r="C46" s="215"/>
      <c r="D46" s="215"/>
      <c r="E46" s="215"/>
      <c r="F46" s="215"/>
      <c r="G46" s="215"/>
      <c r="H46" s="215"/>
      <c r="I46" s="215"/>
      <c r="J46" s="215"/>
    </row>
    <row r="47" spans="1:10" s="1" customFormat="1" ht="25.5" x14ac:dyDescent="0.2">
      <c r="A47" s="175" t="s">
        <v>12</v>
      </c>
      <c r="B47" s="175"/>
      <c r="C47" s="175"/>
      <c r="D47" s="46" t="s">
        <v>13</v>
      </c>
      <c r="E47" s="46" t="s">
        <v>14</v>
      </c>
      <c r="F47" s="51" t="s">
        <v>87</v>
      </c>
      <c r="G47" s="51" t="s">
        <v>88</v>
      </c>
      <c r="H47" s="51" t="s">
        <v>89</v>
      </c>
      <c r="I47" s="51" t="s">
        <v>27</v>
      </c>
      <c r="J47" s="46" t="s">
        <v>19</v>
      </c>
    </row>
    <row r="48" spans="1:10" s="1" customFormat="1" ht="16.5" customHeight="1" x14ac:dyDescent="0.2">
      <c r="A48" s="189" t="s">
        <v>229</v>
      </c>
      <c r="B48" s="189"/>
      <c r="C48" s="189"/>
      <c r="D48" s="5"/>
      <c r="E48" s="5"/>
      <c r="F48" s="5"/>
      <c r="G48" s="5"/>
      <c r="H48" s="5">
        <v>4</v>
      </c>
      <c r="I48" s="5"/>
      <c r="J48" s="5">
        <f>((PRODUCT(D48:H48))-I48)</f>
        <v>4</v>
      </c>
    </row>
    <row r="49" spans="1:10" ht="16.5" customHeight="1" x14ac:dyDescent="0.25">
      <c r="A49" s="159" t="str">
        <f>"TOTAL - " &amp; "MÊS"</f>
        <v>TOTAL - MÊS</v>
      </c>
      <c r="B49" s="159"/>
      <c r="C49" s="159"/>
      <c r="D49" s="159"/>
      <c r="E49" s="159"/>
      <c r="F49" s="159"/>
      <c r="G49" s="159"/>
      <c r="H49" s="159"/>
      <c r="I49" s="159"/>
      <c r="J49" s="41">
        <f>SUM(J48)</f>
        <v>4</v>
      </c>
    </row>
    <row r="50" spans="1:10" s="1" customFormat="1" ht="16.5" customHeight="1" x14ac:dyDescent="0.2">
      <c r="A50" s="16" t="str">
        <f>'Plan. Orçamentária'!A23</f>
        <v>3.3</v>
      </c>
      <c r="B50" s="215" t="str">
        <f>'Plan. Orçamentária'!D23</f>
        <v>Topografo com encargos complementares</v>
      </c>
      <c r="C50" s="215"/>
      <c r="D50" s="215"/>
      <c r="E50" s="215"/>
      <c r="F50" s="215"/>
      <c r="G50" s="215"/>
      <c r="H50" s="215"/>
      <c r="I50" s="215"/>
      <c r="J50" s="215"/>
    </row>
    <row r="51" spans="1:10" s="1" customFormat="1" ht="25.5" x14ac:dyDescent="0.2">
      <c r="A51" s="175" t="s">
        <v>12</v>
      </c>
      <c r="B51" s="175"/>
      <c r="C51" s="175"/>
      <c r="D51" s="46" t="s">
        <v>13</v>
      </c>
      <c r="E51" s="46" t="s">
        <v>14</v>
      </c>
      <c r="F51" s="51" t="s">
        <v>87</v>
      </c>
      <c r="G51" s="51" t="s">
        <v>88</v>
      </c>
      <c r="H51" s="51" t="s">
        <v>89</v>
      </c>
      <c r="I51" s="51" t="s">
        <v>27</v>
      </c>
      <c r="J51" s="46" t="s">
        <v>19</v>
      </c>
    </row>
    <row r="52" spans="1:10" s="1" customFormat="1" ht="16.5" customHeight="1" x14ac:dyDescent="0.2">
      <c r="A52" s="189" t="s">
        <v>231</v>
      </c>
      <c r="B52" s="189"/>
      <c r="C52" s="189"/>
      <c r="D52" s="5"/>
      <c r="E52" s="5"/>
      <c r="F52" s="5">
        <v>0.5</v>
      </c>
      <c r="G52" s="5">
        <v>22</v>
      </c>
      <c r="H52" s="5">
        <v>4</v>
      </c>
      <c r="I52" s="5"/>
      <c r="J52" s="5">
        <f>((PRODUCT(D52:H52))-I52)</f>
        <v>44</v>
      </c>
    </row>
    <row r="53" spans="1:10" ht="16.5" customHeight="1" x14ac:dyDescent="0.25">
      <c r="A53" s="159" t="str">
        <f>"TOTAL - " &amp; "H"</f>
        <v>TOTAL - H</v>
      </c>
      <c r="B53" s="159"/>
      <c r="C53" s="159"/>
      <c r="D53" s="159"/>
      <c r="E53" s="159"/>
      <c r="F53" s="159"/>
      <c r="G53" s="159"/>
      <c r="H53" s="159"/>
      <c r="I53" s="159"/>
      <c r="J53" s="41">
        <f>SUM(J52)</f>
        <v>44</v>
      </c>
    </row>
    <row r="54" spans="1:10" s="1" customFormat="1" ht="16.5" customHeight="1" x14ac:dyDescent="0.2">
      <c r="A54" s="16" t="str">
        <f>'Plan. Orçamentária'!A24</f>
        <v>3.4</v>
      </c>
      <c r="B54" s="215" t="str">
        <f>'Plan. Orçamentária'!D24</f>
        <v>Auxiliar de topógrafo com encargos complementares</v>
      </c>
      <c r="C54" s="215"/>
      <c r="D54" s="215"/>
      <c r="E54" s="215"/>
      <c r="F54" s="215"/>
      <c r="G54" s="215"/>
      <c r="H54" s="215"/>
      <c r="I54" s="215"/>
      <c r="J54" s="215"/>
    </row>
    <row r="55" spans="1:10" s="1" customFormat="1" ht="25.5" x14ac:dyDescent="0.2">
      <c r="A55" s="175" t="s">
        <v>12</v>
      </c>
      <c r="B55" s="175"/>
      <c r="C55" s="175"/>
      <c r="D55" s="46" t="s">
        <v>13</v>
      </c>
      <c r="E55" s="46" t="s">
        <v>14</v>
      </c>
      <c r="F55" s="51" t="s">
        <v>87</v>
      </c>
      <c r="G55" s="51" t="s">
        <v>88</v>
      </c>
      <c r="H55" s="51" t="s">
        <v>89</v>
      </c>
      <c r="I55" s="51" t="s">
        <v>27</v>
      </c>
      <c r="J55" s="46" t="s">
        <v>19</v>
      </c>
    </row>
    <row r="56" spans="1:10" s="1" customFormat="1" ht="16.5" customHeight="1" x14ac:dyDescent="0.2">
      <c r="A56" s="189" t="s">
        <v>232</v>
      </c>
      <c r="B56" s="189"/>
      <c r="C56" s="189"/>
      <c r="D56" s="5"/>
      <c r="E56" s="5"/>
      <c r="F56" s="5">
        <v>0.5</v>
      </c>
      <c r="G56" s="5">
        <v>22</v>
      </c>
      <c r="H56" s="5">
        <v>4</v>
      </c>
      <c r="I56" s="5"/>
      <c r="J56" s="5">
        <f>((PRODUCT(D56:H56))-I56)</f>
        <v>44</v>
      </c>
    </row>
    <row r="57" spans="1:10" ht="16.5" customHeight="1" x14ac:dyDescent="0.25">
      <c r="A57" s="159" t="str">
        <f>"TOTAL - " &amp; "H"</f>
        <v>TOTAL - H</v>
      </c>
      <c r="B57" s="159"/>
      <c r="C57" s="159"/>
      <c r="D57" s="159"/>
      <c r="E57" s="159"/>
      <c r="F57" s="159"/>
      <c r="G57" s="159"/>
      <c r="H57" s="159"/>
      <c r="I57" s="159"/>
      <c r="J57" s="41">
        <f>SUM(J56)</f>
        <v>44</v>
      </c>
    </row>
    <row r="58" spans="1:10" ht="16.5" customHeight="1" x14ac:dyDescent="0.25">
      <c r="A58" s="48">
        <f>'Plan. Orçamentária'!A26</f>
        <v>4</v>
      </c>
      <c r="B58" s="214" t="str">
        <f>'Plan. Orçamentária'!D26</f>
        <v>SINALIZAÇÃO</v>
      </c>
      <c r="C58" s="214"/>
      <c r="D58" s="214"/>
      <c r="E58" s="214"/>
      <c r="F58" s="214"/>
      <c r="G58" s="214"/>
      <c r="H58" s="214"/>
      <c r="I58" s="214"/>
      <c r="J58" s="214"/>
    </row>
    <row r="59" spans="1:10" s="1" customFormat="1" ht="24.75" customHeight="1" x14ac:dyDescent="0.2">
      <c r="A59" s="16" t="str">
        <f>'Plan. Orçamentária'!A27</f>
        <v>4.1</v>
      </c>
      <c r="B59" s="210" t="str">
        <f>'Plan. Orçamentária'!D27</f>
        <v>Placa de aço carbono com película refletiva grau técnico tipo I da ABNT, placa retangular (execução, incluindo fornecimento e transporte de todos os materiais, inclusive poste de sustentação)</v>
      </c>
      <c r="C59" s="211"/>
      <c r="D59" s="211"/>
      <c r="E59" s="211"/>
      <c r="F59" s="211"/>
      <c r="G59" s="211"/>
      <c r="H59" s="211"/>
      <c r="I59" s="211"/>
      <c r="J59" s="212"/>
    </row>
    <row r="60" spans="1:10" s="1" customFormat="1" ht="16.5" customHeight="1" x14ac:dyDescent="0.2">
      <c r="A60" s="190" t="s">
        <v>12</v>
      </c>
      <c r="B60" s="191"/>
      <c r="C60" s="192"/>
      <c r="D60" s="47" t="s">
        <v>13</v>
      </c>
      <c r="E60" s="47" t="s">
        <v>14</v>
      </c>
      <c r="F60" s="47" t="s">
        <v>15</v>
      </c>
      <c r="G60" s="47" t="s">
        <v>16</v>
      </c>
      <c r="H60" s="47" t="s">
        <v>86</v>
      </c>
      <c r="I60" s="47" t="s">
        <v>18</v>
      </c>
      <c r="J60" s="47" t="s">
        <v>19</v>
      </c>
    </row>
    <row r="61" spans="1:10" s="1" customFormat="1" ht="25.5" customHeight="1" x14ac:dyDescent="0.2">
      <c r="A61" s="207" t="s">
        <v>259</v>
      </c>
      <c r="B61" s="208"/>
      <c r="C61" s="209"/>
      <c r="D61" s="5"/>
      <c r="E61" s="5">
        <v>0.4</v>
      </c>
      <c r="F61" s="5">
        <v>1.1000000000000001</v>
      </c>
      <c r="G61" s="5">
        <v>6</v>
      </c>
      <c r="H61" s="5"/>
      <c r="I61" s="5"/>
      <c r="J61" s="5">
        <f>((PRODUCT(D61:H61))-I61)</f>
        <v>2.64</v>
      </c>
    </row>
    <row r="62" spans="1:10" s="1" customFormat="1" ht="25.5" customHeight="1" x14ac:dyDescent="0.2">
      <c r="A62" s="207" t="s">
        <v>258</v>
      </c>
      <c r="B62" s="208"/>
      <c r="C62" s="209"/>
      <c r="D62" s="5"/>
      <c r="E62" s="5">
        <v>0.4</v>
      </c>
      <c r="F62" s="5">
        <v>1.1000000000000001</v>
      </c>
      <c r="G62" s="5">
        <v>2</v>
      </c>
      <c r="H62" s="5"/>
      <c r="I62" s="5"/>
      <c r="J62" s="5">
        <f>((PRODUCT(D62:H62))-I62)</f>
        <v>0.88</v>
      </c>
    </row>
    <row r="63" spans="1:10" ht="16.5" customHeight="1" x14ac:dyDescent="0.25">
      <c r="A63" s="186" t="str">
        <f>"TOTAL - "&amp;'Plan. Orçamentária'!F27</f>
        <v>TOTAL - M2</v>
      </c>
      <c r="B63" s="187"/>
      <c r="C63" s="187"/>
      <c r="D63" s="187"/>
      <c r="E63" s="187"/>
      <c r="F63" s="187"/>
      <c r="G63" s="187"/>
      <c r="H63" s="187"/>
      <c r="I63" s="188"/>
      <c r="J63" s="41">
        <f>SUM(J61:J62)</f>
        <v>3.52</v>
      </c>
    </row>
    <row r="64" spans="1:10" s="1" customFormat="1" ht="16.5" customHeight="1" x14ac:dyDescent="0.2">
      <c r="A64" s="16" t="str">
        <f>'Plan. Orçamentária'!A28</f>
        <v>4.2</v>
      </c>
      <c r="B64" s="210" t="str">
        <f>'Plan. Orçamentária'!D28</f>
        <v>Cone para sinalização/isolamento de áreas, altura 75 cm, inclusive fornecimento e movimentação</v>
      </c>
      <c r="C64" s="211"/>
      <c r="D64" s="211"/>
      <c r="E64" s="211"/>
      <c r="F64" s="211"/>
      <c r="G64" s="211"/>
      <c r="H64" s="211"/>
      <c r="I64" s="211"/>
      <c r="J64" s="212"/>
    </row>
    <row r="65" spans="1:10" s="1" customFormat="1" ht="16.5" customHeight="1" x14ac:dyDescent="0.2">
      <c r="A65" s="190" t="s">
        <v>12</v>
      </c>
      <c r="B65" s="191"/>
      <c r="C65" s="192"/>
      <c r="D65" s="47" t="s">
        <v>13</v>
      </c>
      <c r="E65" s="47" t="s">
        <v>14</v>
      </c>
      <c r="F65" s="47" t="s">
        <v>15</v>
      </c>
      <c r="G65" s="47" t="s">
        <v>16</v>
      </c>
      <c r="H65" s="47" t="s">
        <v>86</v>
      </c>
      <c r="I65" s="47" t="s">
        <v>18</v>
      </c>
      <c r="J65" s="47" t="s">
        <v>19</v>
      </c>
    </row>
    <row r="66" spans="1:10" s="1" customFormat="1" ht="16.5" customHeight="1" x14ac:dyDescent="0.2">
      <c r="A66" s="185" t="s">
        <v>219</v>
      </c>
      <c r="B66" s="185"/>
      <c r="C66" s="185"/>
      <c r="D66" s="5"/>
      <c r="E66" s="5"/>
      <c r="F66" s="5"/>
      <c r="G66" s="5">
        <v>2</v>
      </c>
      <c r="H66" s="5"/>
      <c r="I66" s="5"/>
      <c r="J66" s="5">
        <f>PRODUCT(D66:H66)-I66</f>
        <v>2</v>
      </c>
    </row>
    <row r="67" spans="1:10" s="1" customFormat="1" ht="16.5" customHeight="1" x14ac:dyDescent="0.2">
      <c r="A67" s="185" t="s">
        <v>220</v>
      </c>
      <c r="B67" s="185"/>
      <c r="C67" s="185"/>
      <c r="D67" s="5"/>
      <c r="E67" s="5"/>
      <c r="F67" s="5"/>
      <c r="G67" s="5">
        <v>2</v>
      </c>
      <c r="H67" s="5"/>
      <c r="I67" s="5"/>
      <c r="J67" s="5">
        <f t="shared" ref="J67:J70" si="0">PRODUCT(D67:H67)-I67</f>
        <v>2</v>
      </c>
    </row>
    <row r="68" spans="1:10" s="1" customFormat="1" ht="16.5" customHeight="1" x14ac:dyDescent="0.2">
      <c r="A68" s="189" t="s">
        <v>221</v>
      </c>
      <c r="B68" s="189"/>
      <c r="C68" s="189"/>
      <c r="D68" s="5"/>
      <c r="E68" s="5"/>
      <c r="F68" s="5"/>
      <c r="G68" s="5">
        <v>2</v>
      </c>
      <c r="H68" s="5"/>
      <c r="I68" s="5"/>
      <c r="J68" s="5">
        <f t="shared" si="0"/>
        <v>2</v>
      </c>
    </row>
    <row r="69" spans="1:10" s="1" customFormat="1" ht="16.5" customHeight="1" x14ac:dyDescent="0.2">
      <c r="A69" s="185" t="s">
        <v>222</v>
      </c>
      <c r="B69" s="185"/>
      <c r="C69" s="185"/>
      <c r="D69" s="5"/>
      <c r="E69" s="5"/>
      <c r="F69" s="5"/>
      <c r="G69" s="5">
        <v>2</v>
      </c>
      <c r="H69" s="5"/>
      <c r="I69" s="5"/>
      <c r="J69" s="5">
        <f t="shared" si="0"/>
        <v>2</v>
      </c>
    </row>
    <row r="70" spans="1:10" s="1" customFormat="1" ht="16.5" customHeight="1" x14ac:dyDescent="0.2">
      <c r="A70" s="185" t="s">
        <v>223</v>
      </c>
      <c r="B70" s="185"/>
      <c r="C70" s="185"/>
      <c r="D70" s="5"/>
      <c r="E70" s="5"/>
      <c r="F70" s="5"/>
      <c r="G70" s="5">
        <v>2</v>
      </c>
      <c r="H70" s="5"/>
      <c r="I70" s="5"/>
      <c r="J70" s="5">
        <f t="shared" si="0"/>
        <v>2</v>
      </c>
    </row>
    <row r="71" spans="1:10" ht="16.5" customHeight="1" x14ac:dyDescent="0.25">
      <c r="A71" s="186" t="str">
        <f>"TOTAL - "&amp;'Plan. Orçamentária'!F28</f>
        <v>TOTAL - UN</v>
      </c>
      <c r="B71" s="187"/>
      <c r="C71" s="187"/>
      <c r="D71" s="187"/>
      <c r="E71" s="187"/>
      <c r="F71" s="187"/>
      <c r="G71" s="187"/>
      <c r="H71" s="187"/>
      <c r="I71" s="188"/>
      <c r="J71" s="41">
        <f>SUM(J66:J70)</f>
        <v>10</v>
      </c>
    </row>
    <row r="72" spans="1:10" ht="16.5" customHeight="1" x14ac:dyDescent="0.25">
      <c r="A72" s="48">
        <f>'Plan. Orçamentária'!A30</f>
        <v>5</v>
      </c>
      <c r="B72" s="214" t="str">
        <f>'Plan. Orçamentária'!D30</f>
        <v>DRENAGEM PLUVIAL</v>
      </c>
      <c r="C72" s="214"/>
      <c r="D72" s="214"/>
      <c r="E72" s="214"/>
      <c r="F72" s="214"/>
      <c r="G72" s="214"/>
      <c r="H72" s="214"/>
      <c r="I72" s="214"/>
      <c r="J72" s="214"/>
    </row>
    <row r="73" spans="1:10" ht="16.5" customHeight="1" x14ac:dyDescent="0.25">
      <c r="A73" s="16" t="str">
        <f>'Plan. Orçamentária'!A31</f>
        <v>5.1</v>
      </c>
      <c r="B73" s="171" t="str">
        <f>'Plan. Orçamentária'!D31</f>
        <v>Escavação e carga mecanizada em material de 1ª categoria</v>
      </c>
      <c r="C73" s="171"/>
      <c r="D73" s="171"/>
      <c r="E73" s="171"/>
      <c r="F73" s="171"/>
      <c r="G73" s="171"/>
      <c r="H73" s="171"/>
      <c r="I73" s="171"/>
      <c r="J73" s="171"/>
    </row>
    <row r="74" spans="1:10" ht="16.5" customHeight="1" x14ac:dyDescent="0.25">
      <c r="A74" s="175" t="s">
        <v>12</v>
      </c>
      <c r="B74" s="175"/>
      <c r="C74" s="175"/>
      <c r="D74" s="113" t="s">
        <v>13</v>
      </c>
      <c r="E74" s="113" t="s">
        <v>14</v>
      </c>
      <c r="F74" s="113" t="s">
        <v>15</v>
      </c>
      <c r="G74" s="113" t="s">
        <v>128</v>
      </c>
      <c r="H74" s="113" t="s">
        <v>18</v>
      </c>
      <c r="I74" s="113" t="s">
        <v>27</v>
      </c>
      <c r="J74" s="113" t="s">
        <v>19</v>
      </c>
    </row>
    <row r="75" spans="1:10" ht="16.5" customHeight="1" x14ac:dyDescent="0.25">
      <c r="A75" s="193" t="s">
        <v>263</v>
      </c>
      <c r="B75" s="194"/>
      <c r="C75" s="195"/>
      <c r="D75" s="5"/>
      <c r="E75" s="5"/>
      <c r="F75" s="5"/>
      <c r="G75" s="5"/>
      <c r="H75" s="5"/>
      <c r="I75" s="5"/>
      <c r="J75" s="5"/>
    </row>
    <row r="76" spans="1:10" ht="16.5" customHeight="1" x14ac:dyDescent="0.25">
      <c r="A76" s="185" t="s">
        <v>277</v>
      </c>
      <c r="B76" s="185"/>
      <c r="C76" s="185"/>
      <c r="D76" s="5"/>
      <c r="E76" s="5">
        <v>3.5</v>
      </c>
      <c r="F76" s="5"/>
      <c r="G76" s="5"/>
      <c r="H76" s="5">
        <v>67.459999999999994</v>
      </c>
      <c r="I76" s="5"/>
      <c r="J76" s="5">
        <f>PRODUCT(D76:H76)-I76</f>
        <v>236.11</v>
      </c>
    </row>
    <row r="77" spans="1:10" ht="16.5" customHeight="1" x14ac:dyDescent="0.25">
      <c r="A77" s="185" t="s">
        <v>278</v>
      </c>
      <c r="B77" s="185"/>
      <c r="C77" s="185"/>
      <c r="D77" s="5"/>
      <c r="E77" s="5">
        <v>3.5</v>
      </c>
      <c r="F77" s="5"/>
      <c r="G77" s="5"/>
      <c r="H77" s="5">
        <v>21.53</v>
      </c>
      <c r="I77" s="5"/>
      <c r="J77" s="5">
        <f>PRODUCT(D77:H77)-I77</f>
        <v>75.36</v>
      </c>
    </row>
    <row r="78" spans="1:10" ht="16.5" customHeight="1" x14ac:dyDescent="0.25">
      <c r="A78" s="159" t="str">
        <f>"TOTAL - "&amp;'Plan. Orçamentária'!F31</f>
        <v>TOTAL - M3</v>
      </c>
      <c r="B78" s="159"/>
      <c r="C78" s="159"/>
      <c r="D78" s="159"/>
      <c r="E78" s="159"/>
      <c r="F78" s="159"/>
      <c r="G78" s="159"/>
      <c r="H78" s="159"/>
      <c r="I78" s="159"/>
      <c r="J78" s="41">
        <f>SUM(J75:J77)</f>
        <v>311.47000000000003</v>
      </c>
    </row>
    <row r="79" spans="1:10" ht="16.5" customHeight="1" x14ac:dyDescent="0.25">
      <c r="A79" s="16" t="str">
        <f>'Plan. Orçamentária'!A32</f>
        <v>5.2</v>
      </c>
      <c r="B79" s="171" t="str">
        <f>'Plan. Orçamentária'!D32</f>
        <v>Aterro compactado com rolo vibratório a 95% do P.N</v>
      </c>
      <c r="C79" s="171"/>
      <c r="D79" s="171"/>
      <c r="E79" s="171"/>
      <c r="F79" s="171"/>
      <c r="G79" s="171"/>
      <c r="H79" s="171"/>
      <c r="I79" s="171"/>
      <c r="J79" s="171"/>
    </row>
    <row r="80" spans="1:10" ht="16.5" customHeight="1" x14ac:dyDescent="0.25">
      <c r="A80" s="175" t="s">
        <v>12</v>
      </c>
      <c r="B80" s="175"/>
      <c r="C80" s="175"/>
      <c r="D80" s="113" t="s">
        <v>13</v>
      </c>
      <c r="E80" s="113" t="s">
        <v>14</v>
      </c>
      <c r="F80" s="113" t="s">
        <v>15</v>
      </c>
      <c r="G80" s="113" t="s">
        <v>128</v>
      </c>
      <c r="H80" s="113" t="s">
        <v>18</v>
      </c>
      <c r="I80" s="113" t="s">
        <v>27</v>
      </c>
      <c r="J80" s="113" t="s">
        <v>19</v>
      </c>
    </row>
    <row r="81" spans="1:10" ht="16.5" customHeight="1" x14ac:dyDescent="0.25">
      <c r="A81" s="193" t="s">
        <v>263</v>
      </c>
      <c r="B81" s="194"/>
      <c r="C81" s="195"/>
      <c r="D81" s="5"/>
      <c r="E81" s="5"/>
      <c r="F81" s="5"/>
      <c r="G81" s="5"/>
      <c r="H81" s="5"/>
      <c r="I81" s="5"/>
      <c r="J81" s="5"/>
    </row>
    <row r="82" spans="1:10" ht="16.5" customHeight="1" x14ac:dyDescent="0.25">
      <c r="A82" s="185" t="s">
        <v>277</v>
      </c>
      <c r="B82" s="185"/>
      <c r="C82" s="185"/>
      <c r="D82" s="5"/>
      <c r="E82" s="5">
        <v>3.5</v>
      </c>
      <c r="F82" s="5"/>
      <c r="G82" s="5"/>
      <c r="H82" s="5">
        <v>67.459999999999994</v>
      </c>
      <c r="I82" s="5"/>
      <c r="J82" s="5">
        <f t="shared" ref="J82:J83" si="1">PRODUCT(D82:H82)-I82</f>
        <v>236.11</v>
      </c>
    </row>
    <row r="83" spans="1:10" ht="16.5" customHeight="1" x14ac:dyDescent="0.25">
      <c r="A83" s="185" t="s">
        <v>278</v>
      </c>
      <c r="B83" s="185"/>
      <c r="C83" s="185"/>
      <c r="D83" s="5"/>
      <c r="E83" s="5">
        <v>3.5</v>
      </c>
      <c r="F83" s="5"/>
      <c r="G83" s="5"/>
      <c r="H83" s="5">
        <v>21.53</v>
      </c>
      <c r="I83" s="5"/>
      <c r="J83" s="5">
        <f t="shared" si="1"/>
        <v>75.36</v>
      </c>
    </row>
    <row r="84" spans="1:10" ht="16.5" customHeight="1" x14ac:dyDescent="0.25">
      <c r="A84" s="159" t="str">
        <f>"TOTAL - "&amp;'Plan. Orçamentária'!F32</f>
        <v>TOTAL - M3</v>
      </c>
      <c r="B84" s="159"/>
      <c r="C84" s="159"/>
      <c r="D84" s="159"/>
      <c r="E84" s="159"/>
      <c r="F84" s="159"/>
      <c r="G84" s="159"/>
      <c r="H84" s="159"/>
      <c r="I84" s="159"/>
      <c r="J84" s="41">
        <f>SUM(J81:J83)</f>
        <v>311.47000000000003</v>
      </c>
    </row>
    <row r="85" spans="1:10" ht="16.5" customHeight="1" x14ac:dyDescent="0.25">
      <c r="A85" s="16" t="str">
        <f>'Plan. Orçamentária'!A33</f>
        <v>5.3</v>
      </c>
      <c r="B85" s="171" t="str">
        <f>'Plan. Orçamentária'!D33</f>
        <v>Escavação mecanizada de vala, com profundidade até 3,00m, largura menor 0,8m em solos de 1ª categoria</v>
      </c>
      <c r="C85" s="171"/>
      <c r="D85" s="171"/>
      <c r="E85" s="171"/>
      <c r="F85" s="171"/>
      <c r="G85" s="171"/>
      <c r="H85" s="171"/>
      <c r="I85" s="171"/>
      <c r="J85" s="171"/>
    </row>
    <row r="86" spans="1:10" ht="16.5" customHeight="1" x14ac:dyDescent="0.25">
      <c r="A86" s="175" t="s">
        <v>12</v>
      </c>
      <c r="B86" s="175"/>
      <c r="C86" s="175"/>
      <c r="D86" s="46" t="s">
        <v>13</v>
      </c>
      <c r="E86" s="46" t="s">
        <v>14</v>
      </c>
      <c r="F86" s="46" t="s">
        <v>15</v>
      </c>
      <c r="G86" s="46" t="s">
        <v>128</v>
      </c>
      <c r="H86" s="46" t="s">
        <v>18</v>
      </c>
      <c r="I86" s="46" t="s">
        <v>27</v>
      </c>
      <c r="J86" s="46" t="s">
        <v>19</v>
      </c>
    </row>
    <row r="87" spans="1:10" ht="16.5" customHeight="1" x14ac:dyDescent="0.25">
      <c r="A87" s="217" t="s">
        <v>260</v>
      </c>
      <c r="B87" s="218"/>
      <c r="C87" s="219"/>
      <c r="D87" s="5"/>
      <c r="E87" s="5"/>
      <c r="F87" s="5"/>
      <c r="G87" s="5"/>
      <c r="H87" s="5"/>
      <c r="I87" s="5"/>
      <c r="J87" s="5"/>
    </row>
    <row r="88" spans="1:10" ht="16.5" customHeight="1" x14ac:dyDescent="0.25">
      <c r="A88" s="182" t="s">
        <v>234</v>
      </c>
      <c r="B88" s="183"/>
      <c r="C88" s="184"/>
      <c r="D88" s="5">
        <v>10.06</v>
      </c>
      <c r="E88" s="5">
        <v>0.7</v>
      </c>
      <c r="F88" s="5">
        <v>1.5</v>
      </c>
      <c r="G88" s="5"/>
      <c r="H88" s="5"/>
      <c r="I88" s="5"/>
      <c r="J88" s="5">
        <f t="shared" ref="J88:J104" si="2">PRODUCT(D88:H88)-I88</f>
        <v>10.56</v>
      </c>
    </row>
    <row r="89" spans="1:10" ht="16.5" customHeight="1" x14ac:dyDescent="0.25">
      <c r="A89" s="182" t="s">
        <v>235</v>
      </c>
      <c r="B89" s="183"/>
      <c r="C89" s="184"/>
      <c r="D89" s="5">
        <v>12.18</v>
      </c>
      <c r="E89" s="5">
        <v>0.7</v>
      </c>
      <c r="F89" s="5">
        <v>1.5</v>
      </c>
      <c r="G89" s="5"/>
      <c r="H89" s="5"/>
      <c r="I89" s="5"/>
      <c r="J89" s="5">
        <f t="shared" si="2"/>
        <v>12.79</v>
      </c>
    </row>
    <row r="90" spans="1:10" ht="16.5" customHeight="1" x14ac:dyDescent="0.25">
      <c r="A90" s="182" t="s">
        <v>236</v>
      </c>
      <c r="B90" s="183"/>
      <c r="C90" s="184"/>
      <c r="D90" s="5">
        <v>6.51</v>
      </c>
      <c r="E90" s="5">
        <v>0.7</v>
      </c>
      <c r="F90" s="5">
        <v>1.5</v>
      </c>
      <c r="G90" s="5"/>
      <c r="H90" s="5"/>
      <c r="I90" s="5"/>
      <c r="J90" s="5">
        <f t="shared" si="2"/>
        <v>6.84</v>
      </c>
    </row>
    <row r="91" spans="1:10" ht="16.5" customHeight="1" x14ac:dyDescent="0.25">
      <c r="A91" s="182" t="s">
        <v>237</v>
      </c>
      <c r="B91" s="183"/>
      <c r="C91" s="184"/>
      <c r="D91" s="5">
        <v>8.68</v>
      </c>
      <c r="E91" s="5">
        <v>0.7</v>
      </c>
      <c r="F91" s="5">
        <v>1.5</v>
      </c>
      <c r="G91" s="5"/>
      <c r="H91" s="5"/>
      <c r="I91" s="5"/>
      <c r="J91" s="5">
        <f t="shared" si="2"/>
        <v>9.11</v>
      </c>
    </row>
    <row r="92" spans="1:10" ht="16.5" customHeight="1" x14ac:dyDescent="0.25">
      <c r="A92" s="172" t="s">
        <v>254</v>
      </c>
      <c r="B92" s="173"/>
      <c r="C92" s="174"/>
      <c r="D92" s="5"/>
      <c r="E92" s="5">
        <v>0.7</v>
      </c>
      <c r="F92" s="5"/>
      <c r="G92" s="5"/>
      <c r="H92" s="5">
        <v>51.31</v>
      </c>
      <c r="I92" s="5"/>
      <c r="J92" s="5">
        <f t="shared" si="2"/>
        <v>35.92</v>
      </c>
    </row>
    <row r="93" spans="1:10" ht="16.5" customHeight="1" x14ac:dyDescent="0.25">
      <c r="A93" s="172" t="s">
        <v>253</v>
      </c>
      <c r="B93" s="173"/>
      <c r="C93" s="174"/>
      <c r="D93" s="5"/>
      <c r="E93" s="5">
        <v>0.7</v>
      </c>
      <c r="F93" s="5"/>
      <c r="G93" s="5"/>
      <c r="H93" s="5">
        <v>129.31</v>
      </c>
      <c r="I93" s="5"/>
      <c r="J93" s="5">
        <f t="shared" si="2"/>
        <v>90.52</v>
      </c>
    </row>
    <row r="94" spans="1:10" ht="16.5" customHeight="1" x14ac:dyDescent="0.25">
      <c r="A94" s="193" t="s">
        <v>261</v>
      </c>
      <c r="B94" s="194"/>
      <c r="C94" s="195"/>
      <c r="D94" s="5"/>
      <c r="E94" s="5"/>
      <c r="F94" s="5"/>
      <c r="G94" s="5"/>
      <c r="H94" s="5"/>
      <c r="I94" s="5"/>
      <c r="J94" s="5"/>
    </row>
    <row r="95" spans="1:10" ht="16.5" customHeight="1" x14ac:dyDescent="0.25">
      <c r="A95" s="156" t="s">
        <v>262</v>
      </c>
      <c r="B95" s="156"/>
      <c r="C95" s="156"/>
      <c r="D95" s="5">
        <f>5.28+2.2+3.41+6.42</f>
        <v>17.309999999999999</v>
      </c>
      <c r="E95" s="5">
        <v>0.7</v>
      </c>
      <c r="F95" s="5">
        <f>AVERAGE(1.5,1)</f>
        <v>1.25</v>
      </c>
      <c r="G95" s="5"/>
      <c r="H95" s="5"/>
      <c r="I95" s="5"/>
      <c r="J95" s="5">
        <f t="shared" si="2"/>
        <v>15.15</v>
      </c>
    </row>
    <row r="96" spans="1:10" ht="16.5" customHeight="1" x14ac:dyDescent="0.25">
      <c r="A96" s="193" t="s">
        <v>263</v>
      </c>
      <c r="B96" s="194"/>
      <c r="C96" s="195"/>
      <c r="D96" s="5"/>
      <c r="E96" s="5"/>
      <c r="F96" s="5"/>
      <c r="G96" s="5"/>
      <c r="H96" s="5"/>
      <c r="I96" s="5"/>
      <c r="J96" s="5"/>
    </row>
    <row r="97" spans="1:17" ht="16.5" customHeight="1" x14ac:dyDescent="0.25">
      <c r="A97" s="182" t="s">
        <v>264</v>
      </c>
      <c r="B97" s="183"/>
      <c r="C97" s="184"/>
      <c r="D97" s="5">
        <v>5.2</v>
      </c>
      <c r="E97" s="5">
        <v>0.7</v>
      </c>
      <c r="F97" s="5">
        <v>1.25</v>
      </c>
      <c r="G97" s="5"/>
      <c r="H97" s="5"/>
      <c r="I97" s="5"/>
      <c r="J97" s="5">
        <f t="shared" si="2"/>
        <v>4.55</v>
      </c>
    </row>
    <row r="98" spans="1:17" ht="16.5" customHeight="1" x14ac:dyDescent="0.25">
      <c r="A98" s="196"/>
      <c r="B98" s="197"/>
      <c r="C98" s="198"/>
      <c r="D98" s="5">
        <v>2.6</v>
      </c>
      <c r="E98" s="5">
        <v>0.7</v>
      </c>
      <c r="F98" s="5">
        <v>1.25</v>
      </c>
      <c r="G98" s="5"/>
      <c r="H98" s="5"/>
      <c r="I98" s="5"/>
      <c r="J98" s="5">
        <f t="shared" si="2"/>
        <v>2.2799999999999998</v>
      </c>
    </row>
    <row r="99" spans="1:17" ht="16.5" customHeight="1" x14ac:dyDescent="0.25">
      <c r="A99" s="182" t="s">
        <v>265</v>
      </c>
      <c r="B99" s="183"/>
      <c r="C99" s="184"/>
      <c r="D99" s="5">
        <v>5.4</v>
      </c>
      <c r="E99" s="5">
        <v>0.7</v>
      </c>
      <c r="F99" s="5">
        <v>1.25</v>
      </c>
      <c r="G99" s="5"/>
      <c r="H99" s="5"/>
      <c r="I99" s="5"/>
      <c r="J99" s="5">
        <f t="shared" si="2"/>
        <v>4.7300000000000004</v>
      </c>
    </row>
    <row r="100" spans="1:17" ht="16.5" customHeight="1" x14ac:dyDescent="0.25">
      <c r="A100" s="196"/>
      <c r="B100" s="197"/>
      <c r="C100" s="198"/>
      <c r="D100" s="5">
        <v>3.1</v>
      </c>
      <c r="E100" s="5">
        <v>0.7</v>
      </c>
      <c r="F100" s="5">
        <v>1.25</v>
      </c>
      <c r="G100" s="5"/>
      <c r="H100" s="5"/>
      <c r="I100" s="5"/>
      <c r="J100" s="5">
        <f t="shared" si="2"/>
        <v>2.71</v>
      </c>
    </row>
    <row r="101" spans="1:17" ht="16.5" customHeight="1" x14ac:dyDescent="0.25">
      <c r="A101" s="182" t="s">
        <v>266</v>
      </c>
      <c r="B101" s="183"/>
      <c r="C101" s="184"/>
      <c r="D101" s="5">
        <v>4.1500000000000004</v>
      </c>
      <c r="E101" s="5">
        <v>0.7</v>
      </c>
      <c r="F101" s="5">
        <v>1.25</v>
      </c>
      <c r="G101" s="5"/>
      <c r="H101" s="5"/>
      <c r="I101" s="5"/>
      <c r="J101" s="5">
        <f t="shared" si="2"/>
        <v>3.63</v>
      </c>
    </row>
    <row r="102" spans="1:17" ht="16.5" customHeight="1" x14ac:dyDescent="0.25">
      <c r="A102" s="196"/>
      <c r="B102" s="197"/>
      <c r="C102" s="198"/>
      <c r="D102" s="5">
        <v>3</v>
      </c>
      <c r="E102" s="5">
        <v>0.7</v>
      </c>
      <c r="F102" s="5">
        <v>1.25</v>
      </c>
      <c r="G102" s="5"/>
      <c r="H102" s="5"/>
      <c r="I102" s="5"/>
      <c r="J102" s="5">
        <f t="shared" si="2"/>
        <v>2.63</v>
      </c>
    </row>
    <row r="103" spans="1:17" ht="16.5" customHeight="1" x14ac:dyDescent="0.25">
      <c r="A103" s="156" t="s">
        <v>267</v>
      </c>
      <c r="B103" s="156"/>
      <c r="C103" s="156"/>
      <c r="D103" s="5"/>
      <c r="E103" s="5">
        <v>0.7</v>
      </c>
      <c r="F103" s="5"/>
      <c r="G103" s="5"/>
      <c r="H103" s="5">
        <v>165.61</v>
      </c>
      <c r="I103" s="5"/>
      <c r="J103" s="5">
        <f t="shared" si="2"/>
        <v>115.93</v>
      </c>
    </row>
    <row r="104" spans="1:17" ht="16.5" customHeight="1" x14ac:dyDescent="0.25">
      <c r="A104" s="156" t="s">
        <v>268</v>
      </c>
      <c r="B104" s="156"/>
      <c r="C104" s="156"/>
      <c r="D104" s="5"/>
      <c r="E104" s="5">
        <v>0.7</v>
      </c>
      <c r="F104" s="5"/>
      <c r="G104" s="5"/>
      <c r="H104" s="5">
        <v>126.03</v>
      </c>
      <c r="I104" s="5"/>
      <c r="J104" s="5">
        <f t="shared" si="2"/>
        <v>88.22</v>
      </c>
    </row>
    <row r="105" spans="1:17" ht="16.5" customHeight="1" x14ac:dyDescent="0.25">
      <c r="A105" s="159" t="str">
        <f>"TOTAL - "&amp;'Plan. Orçamentária'!F33</f>
        <v>TOTAL - M3</v>
      </c>
      <c r="B105" s="159"/>
      <c r="C105" s="159"/>
      <c r="D105" s="159"/>
      <c r="E105" s="159"/>
      <c r="F105" s="159"/>
      <c r="G105" s="159"/>
      <c r="H105" s="159"/>
      <c r="I105" s="159"/>
      <c r="J105" s="41">
        <f>SUM(J88:J104)</f>
        <v>405.57</v>
      </c>
      <c r="Q105" s="12">
        <v>139.77000000000001</v>
      </c>
    </row>
    <row r="106" spans="1:17" ht="16.5" customHeight="1" x14ac:dyDescent="0.25">
      <c r="A106" s="16" t="str">
        <f>'Plan. Orçamentária'!A34</f>
        <v>5.4</v>
      </c>
      <c r="B106" s="171" t="str">
        <f>'Plan. Orçamentária'!D34</f>
        <v>Escavação mecanizada de vala, com profundidade até 3,00m, largura de 0,8m a 1,5m, em solos de 1ª categoria</v>
      </c>
      <c r="C106" s="171"/>
      <c r="D106" s="171"/>
      <c r="E106" s="171"/>
      <c r="F106" s="171"/>
      <c r="G106" s="171"/>
      <c r="H106" s="171"/>
      <c r="I106" s="171"/>
      <c r="J106" s="171"/>
    </row>
    <row r="107" spans="1:17" ht="16.5" customHeight="1" x14ac:dyDescent="0.25">
      <c r="A107" s="175" t="s">
        <v>12</v>
      </c>
      <c r="B107" s="175"/>
      <c r="C107" s="175"/>
      <c r="D107" s="113" t="s">
        <v>13</v>
      </c>
      <c r="E107" s="113" t="s">
        <v>14</v>
      </c>
      <c r="F107" s="113" t="s">
        <v>15</v>
      </c>
      <c r="G107" s="113" t="s">
        <v>128</v>
      </c>
      <c r="H107" s="113" t="s">
        <v>18</v>
      </c>
      <c r="I107" s="113" t="s">
        <v>27</v>
      </c>
      <c r="J107" s="113" t="s">
        <v>19</v>
      </c>
    </row>
    <row r="108" spans="1:17" ht="16.5" customHeight="1" x14ac:dyDescent="0.25">
      <c r="A108" s="193" t="s">
        <v>263</v>
      </c>
      <c r="B108" s="194"/>
      <c r="C108" s="195"/>
      <c r="D108" s="5"/>
      <c r="E108" s="5"/>
      <c r="F108" s="5"/>
      <c r="G108" s="5"/>
      <c r="H108" s="5"/>
      <c r="I108" s="5"/>
      <c r="J108" s="5"/>
    </row>
    <row r="109" spans="1:17" ht="16.5" customHeight="1" x14ac:dyDescent="0.25">
      <c r="A109" s="156" t="s">
        <v>279</v>
      </c>
      <c r="B109" s="156"/>
      <c r="C109" s="156"/>
      <c r="D109" s="5"/>
      <c r="E109" s="5">
        <v>0.9</v>
      </c>
      <c r="F109" s="5"/>
      <c r="G109" s="5"/>
      <c r="H109" s="5">
        <v>120.78</v>
      </c>
      <c r="I109" s="5"/>
      <c r="J109" s="5">
        <f t="shared" ref="J109:J114" si="3">PRODUCT(D109:H109)-I109</f>
        <v>108.7</v>
      </c>
    </row>
    <row r="110" spans="1:17" ht="16.5" customHeight="1" x14ac:dyDescent="0.25">
      <c r="A110" s="156" t="s">
        <v>280</v>
      </c>
      <c r="B110" s="156"/>
      <c r="C110" s="156"/>
      <c r="D110" s="5"/>
      <c r="E110" s="5">
        <v>0.9</v>
      </c>
      <c r="F110" s="5"/>
      <c r="G110" s="5"/>
      <c r="H110" s="5">
        <v>20.38</v>
      </c>
      <c r="I110" s="5"/>
      <c r="J110" s="5">
        <f t="shared" si="3"/>
        <v>18.34</v>
      </c>
    </row>
    <row r="111" spans="1:17" ht="16.5" customHeight="1" x14ac:dyDescent="0.25">
      <c r="A111" s="156" t="s">
        <v>281</v>
      </c>
      <c r="B111" s="156"/>
      <c r="C111" s="156"/>
      <c r="D111" s="5"/>
      <c r="E111" s="5">
        <v>0.9</v>
      </c>
      <c r="F111" s="5"/>
      <c r="G111" s="5"/>
      <c r="H111" s="5">
        <v>127.99</v>
      </c>
      <c r="I111" s="5"/>
      <c r="J111" s="5">
        <f t="shared" si="3"/>
        <v>115.19</v>
      </c>
    </row>
    <row r="112" spans="1:17" ht="16.5" customHeight="1" x14ac:dyDescent="0.25">
      <c r="A112" s="156" t="s">
        <v>282</v>
      </c>
      <c r="B112" s="156"/>
      <c r="C112" s="156"/>
      <c r="D112" s="5"/>
      <c r="E112" s="5">
        <v>0.9</v>
      </c>
      <c r="F112" s="5"/>
      <c r="G112" s="5"/>
      <c r="H112" s="5">
        <v>205.5</v>
      </c>
      <c r="I112" s="5"/>
      <c r="J112" s="5">
        <f t="shared" si="3"/>
        <v>184.95</v>
      </c>
    </row>
    <row r="113" spans="1:10" ht="16.5" customHeight="1" x14ac:dyDescent="0.25">
      <c r="A113" s="156" t="s">
        <v>283</v>
      </c>
      <c r="B113" s="156"/>
      <c r="C113" s="156"/>
      <c r="D113" s="5"/>
      <c r="E113" s="5">
        <v>0.9</v>
      </c>
      <c r="F113" s="5"/>
      <c r="G113" s="5"/>
      <c r="H113" s="5">
        <v>125.64</v>
      </c>
      <c r="I113" s="5"/>
      <c r="J113" s="5">
        <f t="shared" si="3"/>
        <v>113.08</v>
      </c>
    </row>
    <row r="114" spans="1:10" ht="16.5" customHeight="1" x14ac:dyDescent="0.25">
      <c r="A114" s="156" t="s">
        <v>284</v>
      </c>
      <c r="B114" s="156"/>
      <c r="C114" s="156"/>
      <c r="D114" s="5"/>
      <c r="E114" s="5">
        <v>0.9</v>
      </c>
      <c r="F114" s="5"/>
      <c r="G114" s="5"/>
      <c r="H114" s="5">
        <v>70.400000000000006</v>
      </c>
      <c r="I114" s="5"/>
      <c r="J114" s="5">
        <f t="shared" si="3"/>
        <v>63.36</v>
      </c>
    </row>
    <row r="115" spans="1:10" ht="16.5" customHeight="1" x14ac:dyDescent="0.25">
      <c r="A115" s="159" t="str">
        <f>"TOTAL - "&amp;'Plan. Orçamentária'!F34</f>
        <v>TOTAL - M3</v>
      </c>
      <c r="B115" s="159"/>
      <c r="C115" s="159"/>
      <c r="D115" s="159"/>
      <c r="E115" s="159"/>
      <c r="F115" s="159"/>
      <c r="G115" s="159"/>
      <c r="H115" s="159"/>
      <c r="I115" s="159"/>
      <c r="J115" s="41">
        <f>SUM(J109:J114)</f>
        <v>603.62</v>
      </c>
    </row>
    <row r="116" spans="1:10" ht="16.5" customHeight="1" x14ac:dyDescent="0.25">
      <c r="A116" s="16" t="str">
        <f>'Plan. Orçamentária'!A35</f>
        <v>5.5</v>
      </c>
      <c r="B116" s="171" t="str">
        <f>'Plan. Orçamentária'!D35</f>
        <v>Preparo do fundo de vala com largura menor que 1,5 m</v>
      </c>
      <c r="C116" s="171"/>
      <c r="D116" s="171"/>
      <c r="E116" s="171"/>
      <c r="F116" s="171"/>
      <c r="G116" s="171"/>
      <c r="H116" s="171"/>
      <c r="I116" s="171"/>
      <c r="J116" s="171"/>
    </row>
    <row r="117" spans="1:10" ht="16.5" customHeight="1" x14ac:dyDescent="0.25">
      <c r="A117" s="157" t="s">
        <v>12</v>
      </c>
      <c r="B117" s="157"/>
      <c r="C117" s="157"/>
      <c r="D117" s="46" t="s">
        <v>13</v>
      </c>
      <c r="E117" s="46" t="s">
        <v>14</v>
      </c>
      <c r="F117" s="46" t="s">
        <v>15</v>
      </c>
      <c r="G117" s="46" t="s">
        <v>16</v>
      </c>
      <c r="H117" s="46" t="s">
        <v>18</v>
      </c>
      <c r="I117" s="46" t="s">
        <v>27</v>
      </c>
      <c r="J117" s="46" t="s">
        <v>19</v>
      </c>
    </row>
    <row r="118" spans="1:10" ht="16.5" customHeight="1" x14ac:dyDescent="0.25">
      <c r="A118" s="217" t="s">
        <v>260</v>
      </c>
      <c r="B118" s="218"/>
      <c r="C118" s="219"/>
      <c r="D118" s="5"/>
      <c r="E118" s="5"/>
      <c r="F118" s="5"/>
      <c r="G118" s="5"/>
      <c r="H118" s="5"/>
      <c r="I118" s="5"/>
      <c r="J118" s="5"/>
    </row>
    <row r="119" spans="1:10" ht="16.5" customHeight="1" x14ac:dyDescent="0.25">
      <c r="A119" s="182" t="s">
        <v>234</v>
      </c>
      <c r="B119" s="183"/>
      <c r="C119" s="184"/>
      <c r="D119" s="5">
        <v>10.06</v>
      </c>
      <c r="E119" s="5">
        <v>0.7</v>
      </c>
      <c r="F119" s="5"/>
      <c r="G119" s="5"/>
      <c r="H119" s="5"/>
      <c r="I119" s="5"/>
      <c r="J119" s="5">
        <f t="shared" ref="J119:J141" si="4">PRODUCT(D119:H119)-I119</f>
        <v>7.04</v>
      </c>
    </row>
    <row r="120" spans="1:10" ht="16.5" customHeight="1" x14ac:dyDescent="0.25">
      <c r="A120" s="182" t="s">
        <v>235</v>
      </c>
      <c r="B120" s="183"/>
      <c r="C120" s="184"/>
      <c r="D120" s="5">
        <v>12.18</v>
      </c>
      <c r="E120" s="5">
        <v>0.7</v>
      </c>
      <c r="F120" s="5"/>
      <c r="G120" s="5"/>
      <c r="H120" s="5"/>
      <c r="I120" s="5"/>
      <c r="J120" s="5">
        <f t="shared" si="4"/>
        <v>8.5299999999999994</v>
      </c>
    </row>
    <row r="121" spans="1:10" ht="16.5" customHeight="1" x14ac:dyDescent="0.25">
      <c r="A121" s="182" t="s">
        <v>236</v>
      </c>
      <c r="B121" s="183"/>
      <c r="C121" s="184"/>
      <c r="D121" s="5">
        <v>6.51</v>
      </c>
      <c r="E121" s="5">
        <v>0.7</v>
      </c>
      <c r="F121" s="5"/>
      <c r="G121" s="5"/>
      <c r="H121" s="5"/>
      <c r="I121" s="5"/>
      <c r="J121" s="5">
        <f t="shared" si="4"/>
        <v>4.5599999999999996</v>
      </c>
    </row>
    <row r="122" spans="1:10" ht="16.5" customHeight="1" x14ac:dyDescent="0.25">
      <c r="A122" s="182" t="s">
        <v>237</v>
      </c>
      <c r="B122" s="183"/>
      <c r="C122" s="184"/>
      <c r="D122" s="5">
        <v>8.68</v>
      </c>
      <c r="E122" s="5">
        <v>0.7</v>
      </c>
      <c r="F122" s="5"/>
      <c r="G122" s="5"/>
      <c r="H122" s="5"/>
      <c r="I122" s="5"/>
      <c r="J122" s="5">
        <f t="shared" si="4"/>
        <v>6.08</v>
      </c>
    </row>
    <row r="123" spans="1:10" ht="16.5" customHeight="1" x14ac:dyDescent="0.25">
      <c r="A123" s="172" t="s">
        <v>254</v>
      </c>
      <c r="B123" s="173"/>
      <c r="C123" s="174"/>
      <c r="D123" s="5">
        <v>35.03</v>
      </c>
      <c r="E123" s="5">
        <v>0.7</v>
      </c>
      <c r="F123" s="5"/>
      <c r="G123" s="5"/>
      <c r="H123" s="5"/>
      <c r="I123" s="5"/>
      <c r="J123" s="5">
        <f t="shared" si="4"/>
        <v>24.52</v>
      </c>
    </row>
    <row r="124" spans="1:10" ht="16.5" customHeight="1" x14ac:dyDescent="0.25">
      <c r="A124" s="172" t="s">
        <v>253</v>
      </c>
      <c r="B124" s="173"/>
      <c r="C124" s="174"/>
      <c r="D124" s="5">
        <v>51.76</v>
      </c>
      <c r="E124" s="5">
        <v>0.7</v>
      </c>
      <c r="F124" s="5"/>
      <c r="G124" s="5"/>
      <c r="H124" s="5"/>
      <c r="I124" s="5"/>
      <c r="J124" s="5">
        <f t="shared" si="4"/>
        <v>36.229999999999997</v>
      </c>
    </row>
    <row r="125" spans="1:10" ht="16.5" customHeight="1" x14ac:dyDescent="0.25">
      <c r="A125" s="193" t="s">
        <v>261</v>
      </c>
      <c r="B125" s="194"/>
      <c r="C125" s="195"/>
      <c r="D125" s="5"/>
      <c r="E125" s="5"/>
      <c r="F125" s="5"/>
      <c r="G125" s="5"/>
      <c r="H125" s="5"/>
      <c r="I125" s="5"/>
      <c r="J125" s="5"/>
    </row>
    <row r="126" spans="1:10" ht="16.5" customHeight="1" x14ac:dyDescent="0.25">
      <c r="A126" s="156" t="s">
        <v>262</v>
      </c>
      <c r="B126" s="156"/>
      <c r="C126" s="156"/>
      <c r="D126" s="5">
        <v>17.309999999999999</v>
      </c>
      <c r="E126" s="5">
        <v>0.7</v>
      </c>
      <c r="F126" s="5"/>
      <c r="G126" s="5"/>
      <c r="H126" s="5"/>
      <c r="I126" s="5"/>
      <c r="J126" s="5">
        <f t="shared" si="4"/>
        <v>12.12</v>
      </c>
    </row>
    <row r="127" spans="1:10" ht="16.5" customHeight="1" x14ac:dyDescent="0.25">
      <c r="A127" s="193" t="s">
        <v>263</v>
      </c>
      <c r="B127" s="194"/>
      <c r="C127" s="195"/>
      <c r="D127" s="5"/>
      <c r="E127" s="5"/>
      <c r="F127" s="5"/>
      <c r="G127" s="5"/>
      <c r="H127" s="5"/>
      <c r="I127" s="5"/>
      <c r="J127" s="5"/>
    </row>
    <row r="128" spans="1:10" ht="16.5" customHeight="1" x14ac:dyDescent="0.25">
      <c r="A128" s="182" t="s">
        <v>264</v>
      </c>
      <c r="B128" s="183"/>
      <c r="C128" s="184"/>
      <c r="D128" s="5">
        <v>5.2</v>
      </c>
      <c r="E128" s="5">
        <v>0.7</v>
      </c>
      <c r="F128" s="5"/>
      <c r="G128" s="5"/>
      <c r="H128" s="5"/>
      <c r="I128" s="5"/>
      <c r="J128" s="5">
        <f t="shared" si="4"/>
        <v>3.64</v>
      </c>
    </row>
    <row r="129" spans="1:10" ht="16.5" customHeight="1" x14ac:dyDescent="0.25">
      <c r="A129" s="196"/>
      <c r="B129" s="197"/>
      <c r="C129" s="198"/>
      <c r="D129" s="5">
        <v>2.6</v>
      </c>
      <c r="E129" s="5">
        <v>0.7</v>
      </c>
      <c r="F129" s="5"/>
      <c r="G129" s="5"/>
      <c r="H129" s="5"/>
      <c r="I129" s="5"/>
      <c r="J129" s="5">
        <f t="shared" si="4"/>
        <v>1.82</v>
      </c>
    </row>
    <row r="130" spans="1:10" ht="16.5" customHeight="1" x14ac:dyDescent="0.25">
      <c r="A130" s="182" t="s">
        <v>265</v>
      </c>
      <c r="B130" s="183"/>
      <c r="C130" s="184"/>
      <c r="D130" s="5">
        <v>5.4</v>
      </c>
      <c r="E130" s="5">
        <v>0.7</v>
      </c>
      <c r="F130" s="5"/>
      <c r="G130" s="5"/>
      <c r="H130" s="5"/>
      <c r="I130" s="5"/>
      <c r="J130" s="5">
        <f t="shared" si="4"/>
        <v>3.78</v>
      </c>
    </row>
    <row r="131" spans="1:10" ht="16.5" customHeight="1" x14ac:dyDescent="0.25">
      <c r="A131" s="196"/>
      <c r="B131" s="197"/>
      <c r="C131" s="198"/>
      <c r="D131" s="5">
        <v>3.1</v>
      </c>
      <c r="E131" s="5">
        <v>0.7</v>
      </c>
      <c r="F131" s="5"/>
      <c r="G131" s="5"/>
      <c r="H131" s="5"/>
      <c r="I131" s="5"/>
      <c r="J131" s="5">
        <f t="shared" si="4"/>
        <v>2.17</v>
      </c>
    </row>
    <row r="132" spans="1:10" ht="16.5" customHeight="1" x14ac:dyDescent="0.25">
      <c r="A132" s="182" t="s">
        <v>266</v>
      </c>
      <c r="B132" s="183"/>
      <c r="C132" s="184"/>
      <c r="D132" s="5">
        <v>4.1500000000000004</v>
      </c>
      <c r="E132" s="5">
        <v>0.7</v>
      </c>
      <c r="F132" s="5"/>
      <c r="G132" s="5"/>
      <c r="H132" s="5"/>
      <c r="I132" s="5"/>
      <c r="J132" s="5">
        <f t="shared" si="4"/>
        <v>2.91</v>
      </c>
    </row>
    <row r="133" spans="1:10" ht="16.5" customHeight="1" x14ac:dyDescent="0.25">
      <c r="A133" s="196"/>
      <c r="B133" s="197"/>
      <c r="C133" s="198"/>
      <c r="D133" s="5">
        <v>3</v>
      </c>
      <c r="E133" s="5">
        <v>0.7</v>
      </c>
      <c r="F133" s="5"/>
      <c r="G133" s="5"/>
      <c r="H133" s="5"/>
      <c r="I133" s="5"/>
      <c r="J133" s="5">
        <f t="shared" si="4"/>
        <v>2.1</v>
      </c>
    </row>
    <row r="134" spans="1:10" ht="16.5" customHeight="1" x14ac:dyDescent="0.25">
      <c r="A134" s="156" t="s">
        <v>279</v>
      </c>
      <c r="B134" s="156"/>
      <c r="C134" s="156"/>
      <c r="D134" s="5">
        <v>49.71</v>
      </c>
      <c r="E134" s="5">
        <v>0.9</v>
      </c>
      <c r="F134" s="5"/>
      <c r="G134" s="5"/>
      <c r="H134" s="5"/>
      <c r="I134" s="5"/>
      <c r="J134" s="5">
        <f t="shared" si="4"/>
        <v>44.74</v>
      </c>
    </row>
    <row r="135" spans="1:10" ht="16.5" customHeight="1" x14ac:dyDescent="0.25">
      <c r="A135" s="156" t="s">
        <v>280</v>
      </c>
      <c r="B135" s="156"/>
      <c r="C135" s="156"/>
      <c r="D135" s="5">
        <v>10.210000000000001</v>
      </c>
      <c r="E135" s="5">
        <v>0.9</v>
      </c>
      <c r="F135" s="5"/>
      <c r="G135" s="5"/>
      <c r="H135" s="5"/>
      <c r="I135" s="5"/>
      <c r="J135" s="5">
        <f t="shared" si="4"/>
        <v>9.19</v>
      </c>
    </row>
    <row r="136" spans="1:10" ht="16.5" customHeight="1" x14ac:dyDescent="0.25">
      <c r="A136" s="156" t="s">
        <v>281</v>
      </c>
      <c r="B136" s="156"/>
      <c r="C136" s="156"/>
      <c r="D136" s="5">
        <v>68.099999999999994</v>
      </c>
      <c r="E136" s="5">
        <v>0.9</v>
      </c>
      <c r="F136" s="5"/>
      <c r="G136" s="5"/>
      <c r="H136" s="5"/>
      <c r="I136" s="5"/>
      <c r="J136" s="5">
        <f t="shared" si="4"/>
        <v>61.29</v>
      </c>
    </row>
    <row r="137" spans="1:10" ht="16.5" customHeight="1" x14ac:dyDescent="0.25">
      <c r="A137" s="156" t="s">
        <v>282</v>
      </c>
      <c r="B137" s="156"/>
      <c r="C137" s="156"/>
      <c r="D137" s="5">
        <v>91.99</v>
      </c>
      <c r="E137" s="5">
        <v>0.9</v>
      </c>
      <c r="F137" s="5"/>
      <c r="G137" s="5"/>
      <c r="H137" s="5"/>
      <c r="I137" s="5"/>
      <c r="J137" s="5">
        <f t="shared" si="4"/>
        <v>82.79</v>
      </c>
    </row>
    <row r="138" spans="1:10" ht="16.5" customHeight="1" x14ac:dyDescent="0.25">
      <c r="A138" s="156" t="s">
        <v>283</v>
      </c>
      <c r="B138" s="156"/>
      <c r="C138" s="156"/>
      <c r="D138" s="5">
        <v>64.44</v>
      </c>
      <c r="E138" s="5">
        <v>0.9</v>
      </c>
      <c r="F138" s="5"/>
      <c r="G138" s="5"/>
      <c r="H138" s="5"/>
      <c r="I138" s="5"/>
      <c r="J138" s="5">
        <f t="shared" si="4"/>
        <v>58</v>
      </c>
    </row>
    <row r="139" spans="1:10" ht="16.5" customHeight="1" x14ac:dyDescent="0.25">
      <c r="A139" s="156" t="s">
        <v>284</v>
      </c>
      <c r="B139" s="156"/>
      <c r="C139" s="156"/>
      <c r="D139" s="5">
        <v>30.58</v>
      </c>
      <c r="E139" s="5">
        <v>0.9</v>
      </c>
      <c r="F139" s="5"/>
      <c r="G139" s="5"/>
      <c r="H139" s="5"/>
      <c r="I139" s="5"/>
      <c r="J139" s="5">
        <f t="shared" si="4"/>
        <v>27.52</v>
      </c>
    </row>
    <row r="140" spans="1:10" ht="16.5" customHeight="1" x14ac:dyDescent="0.25">
      <c r="A140" s="156" t="s">
        <v>267</v>
      </c>
      <c r="B140" s="156"/>
      <c r="C140" s="156"/>
      <c r="D140" s="5">
        <v>49.61</v>
      </c>
      <c r="E140" s="5">
        <v>0.7</v>
      </c>
      <c r="F140" s="5"/>
      <c r="G140" s="5"/>
      <c r="H140" s="5"/>
      <c r="I140" s="5"/>
      <c r="J140" s="5">
        <f t="shared" si="4"/>
        <v>34.729999999999997</v>
      </c>
    </row>
    <row r="141" spans="1:10" ht="16.5" customHeight="1" x14ac:dyDescent="0.25">
      <c r="A141" s="156" t="s">
        <v>268</v>
      </c>
      <c r="B141" s="156"/>
      <c r="C141" s="156"/>
      <c r="D141" s="5">
        <v>51.73</v>
      </c>
      <c r="E141" s="5">
        <v>0.7</v>
      </c>
      <c r="F141" s="5"/>
      <c r="G141" s="5"/>
      <c r="H141" s="5"/>
      <c r="I141" s="5"/>
      <c r="J141" s="5">
        <f t="shared" si="4"/>
        <v>36.21</v>
      </c>
    </row>
    <row r="142" spans="1:10" ht="16.5" customHeight="1" x14ac:dyDescent="0.25">
      <c r="A142" s="159" t="str">
        <f>"TOTAL - "&amp;'Plan. Orçamentária'!F35</f>
        <v>TOTAL - M2</v>
      </c>
      <c r="B142" s="159"/>
      <c r="C142" s="159"/>
      <c r="D142" s="159"/>
      <c r="E142" s="159"/>
      <c r="F142" s="159"/>
      <c r="G142" s="159"/>
      <c r="H142" s="159"/>
      <c r="I142" s="159"/>
      <c r="J142" s="41">
        <f>SUM(J119:J141)</f>
        <v>469.97</v>
      </c>
    </row>
    <row r="143" spans="1:10" ht="16.5" customHeight="1" x14ac:dyDescent="0.25">
      <c r="A143" s="16" t="str">
        <f>'Plan. Orçamentária'!A36</f>
        <v>5.6</v>
      </c>
      <c r="B143" s="171" t="str">
        <f>'Plan. Orçamentária'!D36</f>
        <v>Berço em concreto não estrutural, preparado em obra com betoneira, Fck ≥ 15MPa, inclusive lançamento, adensamento e acabamento</v>
      </c>
      <c r="C143" s="171"/>
      <c r="D143" s="171"/>
      <c r="E143" s="171"/>
      <c r="F143" s="171"/>
      <c r="G143" s="171"/>
      <c r="H143" s="171"/>
      <c r="I143" s="171"/>
      <c r="J143" s="171"/>
    </row>
    <row r="144" spans="1:10" ht="16.5" customHeight="1" x14ac:dyDescent="0.25">
      <c r="A144" s="157" t="s">
        <v>12</v>
      </c>
      <c r="B144" s="157"/>
      <c r="C144" s="157"/>
      <c r="D144" s="113" t="s">
        <v>13</v>
      </c>
      <c r="E144" s="113" t="s">
        <v>14</v>
      </c>
      <c r="F144" s="113" t="s">
        <v>15</v>
      </c>
      <c r="G144" s="113" t="s">
        <v>16</v>
      </c>
      <c r="H144" s="113" t="s">
        <v>18</v>
      </c>
      <c r="I144" s="113" t="s">
        <v>27</v>
      </c>
      <c r="J144" s="113" t="s">
        <v>19</v>
      </c>
    </row>
    <row r="145" spans="1:10" ht="16.5" customHeight="1" x14ac:dyDescent="0.25">
      <c r="A145" s="193" t="s">
        <v>263</v>
      </c>
      <c r="B145" s="194"/>
      <c r="C145" s="195"/>
      <c r="D145" s="5"/>
      <c r="E145" s="5"/>
      <c r="F145" s="5"/>
      <c r="G145" s="5"/>
      <c r="H145" s="5"/>
      <c r="I145" s="5"/>
      <c r="J145" s="5"/>
    </row>
    <row r="146" spans="1:10" ht="16.5" customHeight="1" x14ac:dyDescent="0.25">
      <c r="A146" s="220" t="s">
        <v>279</v>
      </c>
      <c r="B146" s="221"/>
      <c r="C146" s="222"/>
      <c r="D146" s="5">
        <v>49.71</v>
      </c>
      <c r="E146" s="5">
        <v>0.9</v>
      </c>
      <c r="F146" s="15">
        <v>0.12</v>
      </c>
      <c r="G146" s="5"/>
      <c r="H146" s="5"/>
      <c r="I146" s="5"/>
      <c r="J146" s="5">
        <f t="shared" ref="J146:J151" si="5">PRODUCT(D146:H146)-I146</f>
        <v>5.37</v>
      </c>
    </row>
    <row r="147" spans="1:10" ht="16.5" customHeight="1" x14ac:dyDescent="0.25">
      <c r="A147" s="220" t="s">
        <v>280</v>
      </c>
      <c r="B147" s="221"/>
      <c r="C147" s="222"/>
      <c r="D147" s="5">
        <v>10.210000000000001</v>
      </c>
      <c r="E147" s="5">
        <v>0.9</v>
      </c>
      <c r="F147" s="15">
        <v>0.12</v>
      </c>
      <c r="G147" s="5"/>
      <c r="H147" s="5"/>
      <c r="I147" s="5"/>
      <c r="J147" s="5">
        <f t="shared" si="5"/>
        <v>1.1000000000000001</v>
      </c>
    </row>
    <row r="148" spans="1:10" ht="16.5" customHeight="1" x14ac:dyDescent="0.25">
      <c r="A148" s="220" t="s">
        <v>281</v>
      </c>
      <c r="B148" s="221"/>
      <c r="C148" s="222"/>
      <c r="D148" s="5">
        <v>68.099999999999994</v>
      </c>
      <c r="E148" s="5">
        <v>0.9</v>
      </c>
      <c r="F148" s="15">
        <v>0.12</v>
      </c>
      <c r="G148" s="5"/>
      <c r="H148" s="5"/>
      <c r="I148" s="5"/>
      <c r="J148" s="5">
        <f t="shared" si="5"/>
        <v>7.35</v>
      </c>
    </row>
    <row r="149" spans="1:10" ht="16.5" customHeight="1" x14ac:dyDescent="0.25">
      <c r="A149" s="220" t="s">
        <v>282</v>
      </c>
      <c r="B149" s="221"/>
      <c r="C149" s="222"/>
      <c r="D149" s="5">
        <v>91.99</v>
      </c>
      <c r="E149" s="5">
        <v>0.9</v>
      </c>
      <c r="F149" s="15">
        <v>0.12</v>
      </c>
      <c r="G149" s="5"/>
      <c r="H149" s="5"/>
      <c r="I149" s="5"/>
      <c r="J149" s="5">
        <f t="shared" si="5"/>
        <v>9.93</v>
      </c>
    </row>
    <row r="150" spans="1:10" ht="16.5" customHeight="1" x14ac:dyDescent="0.25">
      <c r="A150" s="220" t="s">
        <v>283</v>
      </c>
      <c r="B150" s="221"/>
      <c r="C150" s="222"/>
      <c r="D150" s="5">
        <v>64.44</v>
      </c>
      <c r="E150" s="5">
        <v>0.9</v>
      </c>
      <c r="F150" s="15">
        <v>0.12</v>
      </c>
      <c r="G150" s="5"/>
      <c r="H150" s="5"/>
      <c r="I150" s="5"/>
      <c r="J150" s="5">
        <f t="shared" si="5"/>
        <v>6.96</v>
      </c>
    </row>
    <row r="151" spans="1:10" ht="16.5" customHeight="1" x14ac:dyDescent="0.25">
      <c r="A151" s="220" t="s">
        <v>284</v>
      </c>
      <c r="B151" s="221"/>
      <c r="C151" s="222"/>
      <c r="D151" s="5">
        <v>30.58</v>
      </c>
      <c r="E151" s="5">
        <v>0.9</v>
      </c>
      <c r="F151" s="15">
        <v>0.12</v>
      </c>
      <c r="G151" s="5"/>
      <c r="H151" s="5"/>
      <c r="I151" s="5"/>
      <c r="J151" s="5">
        <f t="shared" si="5"/>
        <v>3.3</v>
      </c>
    </row>
    <row r="152" spans="1:10" ht="16.5" customHeight="1" x14ac:dyDescent="0.25">
      <c r="A152" s="159" t="str">
        <f>"TOTAL - "&amp;'Plan. Orçamentária'!F36</f>
        <v>TOTAL - M3</v>
      </c>
      <c r="B152" s="159"/>
      <c r="C152" s="159"/>
      <c r="D152" s="159"/>
      <c r="E152" s="159"/>
      <c r="F152" s="159"/>
      <c r="G152" s="159"/>
      <c r="H152" s="159"/>
      <c r="I152" s="159"/>
      <c r="J152" s="41">
        <f>SUM(J145:J151)</f>
        <v>34.01</v>
      </c>
    </row>
    <row r="153" spans="1:10" ht="16.5" customHeight="1" x14ac:dyDescent="0.25">
      <c r="A153" s="16" t="str">
        <f>'Plan. Orçamentária'!A37</f>
        <v>5.7</v>
      </c>
      <c r="B153" s="171" t="str">
        <f>'Plan. Orçamentária'!D37</f>
        <v>Tubo de concreto armado PA1, DN 400mm, junta rígida tipo ponta e bolsa, incluindo fornecimento, assentamento e rejuntamento</v>
      </c>
      <c r="C153" s="171"/>
      <c r="D153" s="171"/>
      <c r="E153" s="171"/>
      <c r="F153" s="171"/>
      <c r="G153" s="171"/>
      <c r="H153" s="171"/>
      <c r="I153" s="171"/>
      <c r="J153" s="171"/>
    </row>
    <row r="154" spans="1:10" ht="16.5" customHeight="1" x14ac:dyDescent="0.25">
      <c r="A154" s="157" t="s">
        <v>12</v>
      </c>
      <c r="B154" s="157"/>
      <c r="C154" s="157"/>
      <c r="D154" s="46" t="s">
        <v>13</v>
      </c>
      <c r="E154" s="46" t="s">
        <v>14</v>
      </c>
      <c r="F154" s="46" t="s">
        <v>15</v>
      </c>
      <c r="G154" s="46" t="s">
        <v>16</v>
      </c>
      <c r="H154" s="46" t="s">
        <v>18</v>
      </c>
      <c r="I154" s="46" t="s">
        <v>27</v>
      </c>
      <c r="J154" s="46" t="s">
        <v>19</v>
      </c>
    </row>
    <row r="155" spans="1:10" ht="16.5" customHeight="1" x14ac:dyDescent="0.25">
      <c r="A155" s="217" t="s">
        <v>260</v>
      </c>
      <c r="B155" s="218"/>
      <c r="C155" s="219"/>
      <c r="D155" s="5"/>
      <c r="E155" s="5"/>
      <c r="F155" s="5"/>
      <c r="G155" s="5"/>
      <c r="H155" s="5"/>
      <c r="I155" s="5"/>
      <c r="J155" s="5"/>
    </row>
    <row r="156" spans="1:10" ht="16.5" customHeight="1" x14ac:dyDescent="0.25">
      <c r="A156" s="182" t="s">
        <v>234</v>
      </c>
      <c r="B156" s="183"/>
      <c r="C156" s="184"/>
      <c r="D156" s="5">
        <v>10.06</v>
      </c>
      <c r="E156" s="5"/>
      <c r="F156" s="5"/>
      <c r="G156" s="5"/>
      <c r="H156" s="5"/>
      <c r="I156" s="5"/>
      <c r="J156" s="5">
        <f t="shared" ref="J156:J172" si="6">PRODUCT(D156:H156)-I156</f>
        <v>10.06</v>
      </c>
    </row>
    <row r="157" spans="1:10" ht="16.5" customHeight="1" x14ac:dyDescent="0.25">
      <c r="A157" s="182" t="s">
        <v>235</v>
      </c>
      <c r="B157" s="183"/>
      <c r="C157" s="184"/>
      <c r="D157" s="5">
        <v>12.18</v>
      </c>
      <c r="E157" s="5"/>
      <c r="F157" s="5"/>
      <c r="G157" s="5"/>
      <c r="H157" s="5"/>
      <c r="I157" s="5"/>
      <c r="J157" s="5">
        <f t="shared" si="6"/>
        <v>12.18</v>
      </c>
    </row>
    <row r="158" spans="1:10" ht="16.5" customHeight="1" x14ac:dyDescent="0.25">
      <c r="A158" s="182" t="s">
        <v>236</v>
      </c>
      <c r="B158" s="183"/>
      <c r="C158" s="184"/>
      <c r="D158" s="5">
        <v>6.51</v>
      </c>
      <c r="E158" s="5"/>
      <c r="F158" s="5"/>
      <c r="G158" s="5"/>
      <c r="H158" s="5"/>
      <c r="I158" s="5"/>
      <c r="J158" s="5">
        <f t="shared" si="6"/>
        <v>6.51</v>
      </c>
    </row>
    <row r="159" spans="1:10" ht="16.5" customHeight="1" x14ac:dyDescent="0.25">
      <c r="A159" s="182" t="s">
        <v>237</v>
      </c>
      <c r="B159" s="183"/>
      <c r="C159" s="184"/>
      <c r="D159" s="5">
        <v>8.68</v>
      </c>
      <c r="E159" s="5"/>
      <c r="F159" s="5"/>
      <c r="G159" s="5"/>
      <c r="H159" s="5"/>
      <c r="I159" s="5"/>
      <c r="J159" s="5">
        <f t="shared" si="6"/>
        <v>8.68</v>
      </c>
    </row>
    <row r="160" spans="1:10" ht="16.5" customHeight="1" x14ac:dyDescent="0.25">
      <c r="A160" s="172" t="s">
        <v>254</v>
      </c>
      <c r="B160" s="173"/>
      <c r="C160" s="174"/>
      <c r="D160" s="5">
        <v>35.03</v>
      </c>
      <c r="E160" s="5"/>
      <c r="F160" s="5"/>
      <c r="G160" s="5"/>
      <c r="H160" s="5"/>
      <c r="I160" s="5"/>
      <c r="J160" s="5">
        <f t="shared" si="6"/>
        <v>35.03</v>
      </c>
    </row>
    <row r="161" spans="1:10" ht="16.5" customHeight="1" x14ac:dyDescent="0.25">
      <c r="A161" s="172" t="s">
        <v>253</v>
      </c>
      <c r="B161" s="173"/>
      <c r="C161" s="174"/>
      <c r="D161" s="5">
        <v>51.76</v>
      </c>
      <c r="E161" s="5"/>
      <c r="F161" s="5"/>
      <c r="G161" s="5"/>
      <c r="H161" s="5"/>
      <c r="I161" s="5"/>
      <c r="J161" s="5">
        <f t="shared" si="6"/>
        <v>51.76</v>
      </c>
    </row>
    <row r="162" spans="1:10" ht="16.5" customHeight="1" x14ac:dyDescent="0.25">
      <c r="A162" s="193" t="s">
        <v>261</v>
      </c>
      <c r="B162" s="194"/>
      <c r="C162" s="195"/>
      <c r="D162" s="5"/>
      <c r="E162" s="5"/>
      <c r="F162" s="5"/>
      <c r="G162" s="5"/>
      <c r="H162" s="5"/>
      <c r="I162" s="5"/>
      <c r="J162" s="5"/>
    </row>
    <row r="163" spans="1:10" ht="16.5" customHeight="1" x14ac:dyDescent="0.25">
      <c r="A163" s="156" t="s">
        <v>262</v>
      </c>
      <c r="B163" s="156"/>
      <c r="C163" s="156"/>
      <c r="D163" s="5">
        <f>5.28+2.2+3.41+6.42</f>
        <v>17.309999999999999</v>
      </c>
      <c r="E163" s="5"/>
      <c r="F163" s="5"/>
      <c r="G163" s="5"/>
      <c r="H163" s="5"/>
      <c r="I163" s="5"/>
      <c r="J163" s="5">
        <f t="shared" si="6"/>
        <v>17.309999999999999</v>
      </c>
    </row>
    <row r="164" spans="1:10" ht="16.5" customHeight="1" x14ac:dyDescent="0.25">
      <c r="A164" s="193" t="s">
        <v>263</v>
      </c>
      <c r="B164" s="194"/>
      <c r="C164" s="195"/>
      <c r="D164" s="5"/>
      <c r="E164" s="5"/>
      <c r="F164" s="5"/>
      <c r="G164" s="5"/>
      <c r="H164" s="5"/>
      <c r="I164" s="5"/>
      <c r="J164" s="5"/>
    </row>
    <row r="165" spans="1:10" ht="16.5" customHeight="1" x14ac:dyDescent="0.25">
      <c r="A165" s="182" t="s">
        <v>264</v>
      </c>
      <c r="B165" s="183"/>
      <c r="C165" s="184"/>
      <c r="D165" s="5">
        <v>5.2</v>
      </c>
      <c r="E165" s="5"/>
      <c r="F165" s="5"/>
      <c r="G165" s="5"/>
      <c r="H165" s="5"/>
      <c r="I165" s="5"/>
      <c r="J165" s="5">
        <f t="shared" si="6"/>
        <v>5.2</v>
      </c>
    </row>
    <row r="166" spans="1:10" ht="16.5" customHeight="1" x14ac:dyDescent="0.25">
      <c r="A166" s="196"/>
      <c r="B166" s="197"/>
      <c r="C166" s="198"/>
      <c r="D166" s="5">
        <v>2.6</v>
      </c>
      <c r="E166" s="5"/>
      <c r="F166" s="5"/>
      <c r="G166" s="5"/>
      <c r="H166" s="5"/>
      <c r="I166" s="5"/>
      <c r="J166" s="5">
        <f t="shared" si="6"/>
        <v>2.6</v>
      </c>
    </row>
    <row r="167" spans="1:10" ht="16.5" customHeight="1" x14ac:dyDescent="0.25">
      <c r="A167" s="182" t="s">
        <v>265</v>
      </c>
      <c r="B167" s="183"/>
      <c r="C167" s="184"/>
      <c r="D167" s="5">
        <v>5.4</v>
      </c>
      <c r="E167" s="5"/>
      <c r="F167" s="5"/>
      <c r="G167" s="5"/>
      <c r="H167" s="5"/>
      <c r="I167" s="5"/>
      <c r="J167" s="5">
        <f t="shared" si="6"/>
        <v>5.4</v>
      </c>
    </row>
    <row r="168" spans="1:10" ht="16.5" customHeight="1" x14ac:dyDescent="0.25">
      <c r="A168" s="196"/>
      <c r="B168" s="197"/>
      <c r="C168" s="198"/>
      <c r="D168" s="5">
        <v>3.1</v>
      </c>
      <c r="E168" s="5"/>
      <c r="F168" s="5"/>
      <c r="G168" s="5"/>
      <c r="H168" s="5"/>
      <c r="I168" s="5"/>
      <c r="J168" s="5">
        <f t="shared" si="6"/>
        <v>3.1</v>
      </c>
    </row>
    <row r="169" spans="1:10" ht="16.5" customHeight="1" x14ac:dyDescent="0.25">
      <c r="A169" s="182" t="s">
        <v>266</v>
      </c>
      <c r="B169" s="183"/>
      <c r="C169" s="184"/>
      <c r="D169" s="5">
        <v>4.1500000000000004</v>
      </c>
      <c r="E169" s="5"/>
      <c r="F169" s="5"/>
      <c r="G169" s="5"/>
      <c r="H169" s="5"/>
      <c r="I169" s="5"/>
      <c r="J169" s="5">
        <f t="shared" si="6"/>
        <v>4.1500000000000004</v>
      </c>
    </row>
    <row r="170" spans="1:10" ht="16.5" customHeight="1" x14ac:dyDescent="0.25">
      <c r="A170" s="196"/>
      <c r="B170" s="197"/>
      <c r="C170" s="198"/>
      <c r="D170" s="5">
        <v>3</v>
      </c>
      <c r="E170" s="5"/>
      <c r="F170" s="5"/>
      <c r="G170" s="5"/>
      <c r="H170" s="5"/>
      <c r="I170" s="5"/>
      <c r="J170" s="5">
        <f t="shared" si="6"/>
        <v>3</v>
      </c>
    </row>
    <row r="171" spans="1:10" ht="16.5" customHeight="1" x14ac:dyDescent="0.25">
      <c r="A171" s="156" t="s">
        <v>267</v>
      </c>
      <c r="B171" s="156"/>
      <c r="C171" s="156"/>
      <c r="D171" s="5">
        <v>49.61</v>
      </c>
      <c r="E171" s="5"/>
      <c r="F171" s="5"/>
      <c r="G171" s="5"/>
      <c r="H171" s="5"/>
      <c r="I171" s="5"/>
      <c r="J171" s="5">
        <f t="shared" si="6"/>
        <v>49.61</v>
      </c>
    </row>
    <row r="172" spans="1:10" ht="16.5" customHeight="1" x14ac:dyDescent="0.25">
      <c r="A172" s="156" t="s">
        <v>268</v>
      </c>
      <c r="B172" s="156"/>
      <c r="C172" s="156"/>
      <c r="D172" s="5">
        <v>51.73</v>
      </c>
      <c r="E172" s="5"/>
      <c r="F172" s="5"/>
      <c r="G172" s="5"/>
      <c r="H172" s="5"/>
      <c r="I172" s="5"/>
      <c r="J172" s="5">
        <f t="shared" si="6"/>
        <v>51.73</v>
      </c>
    </row>
    <row r="173" spans="1:10" ht="16.5" customHeight="1" x14ac:dyDescent="0.25">
      <c r="A173" s="159" t="str">
        <f>"TOTAL - "&amp;'Plan. Orçamentária'!F37</f>
        <v>TOTAL - M</v>
      </c>
      <c r="B173" s="159"/>
      <c r="C173" s="159"/>
      <c r="D173" s="159"/>
      <c r="E173" s="159"/>
      <c r="F173" s="159"/>
      <c r="G173" s="159"/>
      <c r="H173" s="159"/>
      <c r="I173" s="159"/>
      <c r="J173" s="104">
        <f>SUM(J156:J172)</f>
        <v>266.32</v>
      </c>
    </row>
    <row r="174" spans="1:10" ht="16.5" customHeight="1" x14ac:dyDescent="0.25">
      <c r="A174" s="16" t="str">
        <f>'Plan. Orçamentária'!A38</f>
        <v>5.8</v>
      </c>
      <c r="B174" s="171" t="str">
        <f>'Plan. Orçamentária'!D38</f>
        <v>Tubo de concreto armado PA1, DN 600mm, junta rígida tipo ponta e bolsa, incluindo fornecimento, assentamento e rejuntamento</v>
      </c>
      <c r="C174" s="171"/>
      <c r="D174" s="171"/>
      <c r="E174" s="171"/>
      <c r="F174" s="171"/>
      <c r="G174" s="171"/>
      <c r="H174" s="171"/>
      <c r="I174" s="171"/>
      <c r="J174" s="171"/>
    </row>
    <row r="175" spans="1:10" ht="16.5" customHeight="1" x14ac:dyDescent="0.25">
      <c r="A175" s="157" t="s">
        <v>12</v>
      </c>
      <c r="B175" s="157"/>
      <c r="C175" s="157"/>
      <c r="D175" s="113" t="s">
        <v>13</v>
      </c>
      <c r="E175" s="113" t="s">
        <v>14</v>
      </c>
      <c r="F175" s="113" t="s">
        <v>15</v>
      </c>
      <c r="G175" s="113" t="s">
        <v>16</v>
      </c>
      <c r="H175" s="113" t="s">
        <v>18</v>
      </c>
      <c r="I175" s="113" t="s">
        <v>27</v>
      </c>
      <c r="J175" s="113" t="s">
        <v>19</v>
      </c>
    </row>
    <row r="176" spans="1:10" ht="16.5" customHeight="1" x14ac:dyDescent="0.25">
      <c r="A176" s="156" t="s">
        <v>279</v>
      </c>
      <c r="B176" s="156"/>
      <c r="C176" s="156"/>
      <c r="D176" s="5">
        <v>49.71</v>
      </c>
      <c r="E176" s="10"/>
      <c r="F176" s="10"/>
      <c r="G176" s="10"/>
      <c r="H176" s="10"/>
      <c r="I176" s="10"/>
      <c r="J176" s="5">
        <f t="shared" ref="J176:J181" si="7">PRODUCT(D176:H176)-I176</f>
        <v>49.71</v>
      </c>
    </row>
    <row r="177" spans="1:14" ht="16.5" customHeight="1" x14ac:dyDescent="0.25">
      <c r="A177" s="156" t="s">
        <v>280</v>
      </c>
      <c r="B177" s="156"/>
      <c r="C177" s="156"/>
      <c r="D177" s="5">
        <v>10.210000000000001</v>
      </c>
      <c r="E177" s="10"/>
      <c r="F177" s="10"/>
      <c r="G177" s="10"/>
      <c r="H177" s="10"/>
      <c r="I177" s="10"/>
      <c r="J177" s="5">
        <f t="shared" si="7"/>
        <v>10.210000000000001</v>
      </c>
    </row>
    <row r="178" spans="1:14" ht="16.5" customHeight="1" x14ac:dyDescent="0.25">
      <c r="A178" s="156" t="s">
        <v>281</v>
      </c>
      <c r="B178" s="156"/>
      <c r="C178" s="156"/>
      <c r="D178" s="5">
        <v>68.099999999999994</v>
      </c>
      <c r="E178" s="10"/>
      <c r="F178" s="10"/>
      <c r="G178" s="10"/>
      <c r="H178" s="10"/>
      <c r="I178" s="10"/>
      <c r="J178" s="5">
        <f t="shared" si="7"/>
        <v>68.099999999999994</v>
      </c>
    </row>
    <row r="179" spans="1:14" ht="16.5" customHeight="1" x14ac:dyDescent="0.25">
      <c r="A179" s="156" t="s">
        <v>282</v>
      </c>
      <c r="B179" s="156"/>
      <c r="C179" s="156"/>
      <c r="D179" s="5">
        <v>91.99</v>
      </c>
      <c r="E179" s="10"/>
      <c r="F179" s="10"/>
      <c r="G179" s="10"/>
      <c r="H179" s="10"/>
      <c r="I179" s="10"/>
      <c r="J179" s="5">
        <f t="shared" si="7"/>
        <v>91.99</v>
      </c>
    </row>
    <row r="180" spans="1:14" ht="16.5" customHeight="1" x14ac:dyDescent="0.25">
      <c r="A180" s="156" t="s">
        <v>283</v>
      </c>
      <c r="B180" s="156"/>
      <c r="C180" s="156"/>
      <c r="D180" s="5">
        <v>64.44</v>
      </c>
      <c r="E180" s="10"/>
      <c r="F180" s="10"/>
      <c r="G180" s="10"/>
      <c r="H180" s="10"/>
      <c r="I180" s="10"/>
      <c r="J180" s="5">
        <f t="shared" si="7"/>
        <v>64.44</v>
      </c>
    </row>
    <row r="181" spans="1:14" ht="16.5" customHeight="1" x14ac:dyDescent="0.25">
      <c r="A181" s="156" t="s">
        <v>284</v>
      </c>
      <c r="B181" s="156"/>
      <c r="C181" s="156"/>
      <c r="D181" s="5">
        <v>30.58</v>
      </c>
      <c r="E181" s="10"/>
      <c r="F181" s="10"/>
      <c r="G181" s="10"/>
      <c r="H181" s="10"/>
      <c r="I181" s="10"/>
      <c r="J181" s="5">
        <f t="shared" si="7"/>
        <v>30.58</v>
      </c>
    </row>
    <row r="182" spans="1:14" ht="16.5" customHeight="1" x14ac:dyDescent="0.25">
      <c r="A182" s="159" t="str">
        <f>"TOTAL - "&amp;'Plan. Orçamentária'!F38</f>
        <v>TOTAL - M</v>
      </c>
      <c r="B182" s="159"/>
      <c r="C182" s="159"/>
      <c r="D182" s="159"/>
      <c r="E182" s="159"/>
      <c r="F182" s="159"/>
      <c r="G182" s="159"/>
      <c r="H182" s="159"/>
      <c r="I182" s="159"/>
      <c r="J182" s="104">
        <f>SUM(J176:J181)</f>
        <v>315.02999999999997</v>
      </c>
    </row>
    <row r="183" spans="1:14" ht="16.5" customHeight="1" x14ac:dyDescent="0.25">
      <c r="A183" s="16" t="str">
        <f>'Plan. Orçamentária'!A39</f>
        <v>5.9</v>
      </c>
      <c r="B183" s="171" t="str">
        <f>'Plan. Orçamentária'!D39</f>
        <v>Reaterro de vala com compactação mecânica através de placa vibratória</v>
      </c>
      <c r="C183" s="171"/>
      <c r="D183" s="171"/>
      <c r="E183" s="171"/>
      <c r="F183" s="171"/>
      <c r="G183" s="171"/>
      <c r="H183" s="171"/>
      <c r="I183" s="171"/>
      <c r="J183" s="171"/>
    </row>
    <row r="184" spans="1:14" ht="25.5" customHeight="1" x14ac:dyDescent="0.25">
      <c r="A184" s="157" t="s">
        <v>12</v>
      </c>
      <c r="B184" s="157"/>
      <c r="C184" s="157"/>
      <c r="D184" s="157" t="s">
        <v>136</v>
      </c>
      <c r="E184" s="157"/>
      <c r="F184" s="157"/>
      <c r="G184" s="157" t="s">
        <v>137</v>
      </c>
      <c r="H184" s="177" t="s">
        <v>18</v>
      </c>
      <c r="I184" s="157" t="s">
        <v>27</v>
      </c>
      <c r="J184" s="157" t="s">
        <v>19</v>
      </c>
    </row>
    <row r="185" spans="1:14" ht="25.5" customHeight="1" x14ac:dyDescent="0.25">
      <c r="A185" s="157"/>
      <c r="B185" s="157"/>
      <c r="C185" s="157"/>
      <c r="D185" s="105" t="s">
        <v>13</v>
      </c>
      <c r="E185" s="105" t="s">
        <v>238</v>
      </c>
      <c r="F185" s="105" t="s">
        <v>138</v>
      </c>
      <c r="G185" s="157"/>
      <c r="H185" s="178"/>
      <c r="I185" s="157"/>
      <c r="J185" s="157"/>
    </row>
    <row r="186" spans="1:14" ht="16.5" customHeight="1" x14ac:dyDescent="0.25">
      <c r="A186" s="217" t="s">
        <v>260</v>
      </c>
      <c r="B186" s="218"/>
      <c r="C186" s="219"/>
      <c r="D186" s="5"/>
      <c r="E186" s="108"/>
      <c r="F186" s="5"/>
      <c r="G186" s="120"/>
      <c r="H186" s="121"/>
      <c r="I186" s="120"/>
      <c r="J186" s="114"/>
      <c r="L186" s="54"/>
      <c r="N186" s="54"/>
    </row>
    <row r="187" spans="1:14" ht="16.5" customHeight="1" x14ac:dyDescent="0.25">
      <c r="A187" s="182" t="s">
        <v>234</v>
      </c>
      <c r="B187" s="183"/>
      <c r="C187" s="184"/>
      <c r="D187" s="5">
        <v>10.06</v>
      </c>
      <c r="E187" s="108">
        <f>(((0.48*0.48)*3.14)/4)</f>
        <v>0.18085999999999999</v>
      </c>
      <c r="F187" s="5">
        <f>D187*E187</f>
        <v>1.82</v>
      </c>
      <c r="G187" s="179">
        <f>SUM(J88:J93)</f>
        <v>165.74</v>
      </c>
      <c r="H187" s="160"/>
      <c r="I187" s="160"/>
      <c r="J187" s="176">
        <f>G187-F193</f>
        <v>143.27000000000001</v>
      </c>
      <c r="L187" s="54"/>
      <c r="N187" s="54"/>
    </row>
    <row r="188" spans="1:14" ht="16.5" customHeight="1" x14ac:dyDescent="0.25">
      <c r="A188" s="182" t="s">
        <v>235</v>
      </c>
      <c r="B188" s="183"/>
      <c r="C188" s="184"/>
      <c r="D188" s="5">
        <v>12.18</v>
      </c>
      <c r="E188" s="108">
        <f t="shared" ref="E188:E192" si="8">(((0.48*0.48)*3.14)/4)</f>
        <v>0.18085999999999999</v>
      </c>
      <c r="F188" s="5">
        <f t="shared" ref="F188:F192" si="9">D188*E188</f>
        <v>2.2000000000000002</v>
      </c>
      <c r="G188" s="180"/>
      <c r="H188" s="161"/>
      <c r="I188" s="161"/>
      <c r="J188" s="176"/>
      <c r="L188" s="54"/>
      <c r="N188" s="54"/>
    </row>
    <row r="189" spans="1:14" ht="16.5" customHeight="1" x14ac:dyDescent="0.25">
      <c r="A189" s="182" t="s">
        <v>236</v>
      </c>
      <c r="B189" s="183"/>
      <c r="C189" s="184"/>
      <c r="D189" s="5">
        <v>6.51</v>
      </c>
      <c r="E189" s="108">
        <f t="shared" si="8"/>
        <v>0.18085999999999999</v>
      </c>
      <c r="F189" s="5">
        <f t="shared" si="9"/>
        <v>1.18</v>
      </c>
      <c r="G189" s="180"/>
      <c r="H189" s="161"/>
      <c r="I189" s="161"/>
      <c r="J189" s="176"/>
      <c r="L189" s="54"/>
      <c r="N189" s="54"/>
    </row>
    <row r="190" spans="1:14" ht="16.5" customHeight="1" x14ac:dyDescent="0.25">
      <c r="A190" s="182" t="s">
        <v>237</v>
      </c>
      <c r="B190" s="183"/>
      <c r="C190" s="184"/>
      <c r="D190" s="5">
        <v>8.68</v>
      </c>
      <c r="E190" s="108">
        <f t="shared" si="8"/>
        <v>0.18085999999999999</v>
      </c>
      <c r="F190" s="5">
        <f t="shared" si="9"/>
        <v>1.57</v>
      </c>
      <c r="G190" s="180"/>
      <c r="H190" s="161"/>
      <c r="I190" s="161"/>
      <c r="J190" s="176"/>
      <c r="L190" s="54"/>
      <c r="N190" s="54"/>
    </row>
    <row r="191" spans="1:14" ht="16.5" customHeight="1" x14ac:dyDescent="0.25">
      <c r="A191" s="172" t="s">
        <v>254</v>
      </c>
      <c r="B191" s="173"/>
      <c r="C191" s="174"/>
      <c r="D191" s="5">
        <v>35.03</v>
      </c>
      <c r="E191" s="108">
        <f t="shared" si="8"/>
        <v>0.18085999999999999</v>
      </c>
      <c r="F191" s="5">
        <f t="shared" si="9"/>
        <v>6.34</v>
      </c>
      <c r="G191" s="180"/>
      <c r="H191" s="161"/>
      <c r="I191" s="161"/>
      <c r="J191" s="176"/>
      <c r="L191" s="54"/>
      <c r="N191" s="54"/>
    </row>
    <row r="192" spans="1:14" ht="16.5" customHeight="1" x14ac:dyDescent="0.25">
      <c r="A192" s="172" t="s">
        <v>253</v>
      </c>
      <c r="B192" s="173"/>
      <c r="C192" s="174"/>
      <c r="D192" s="5">
        <v>51.76</v>
      </c>
      <c r="E192" s="108">
        <f t="shared" si="8"/>
        <v>0.18085999999999999</v>
      </c>
      <c r="F192" s="5">
        <f t="shared" si="9"/>
        <v>9.36</v>
      </c>
      <c r="G192" s="180"/>
      <c r="H192" s="161"/>
      <c r="I192" s="161"/>
      <c r="J192" s="176"/>
      <c r="L192" s="54"/>
      <c r="N192" s="54"/>
    </row>
    <row r="193" spans="1:14" ht="16.5" customHeight="1" x14ac:dyDescent="0.25">
      <c r="A193" s="163" t="s">
        <v>139</v>
      </c>
      <c r="B193" s="164"/>
      <c r="C193" s="164"/>
      <c r="D193" s="164"/>
      <c r="E193" s="165"/>
      <c r="F193" s="109">
        <f>SUM(F187:F192)</f>
        <v>22.47</v>
      </c>
      <c r="G193" s="181"/>
      <c r="H193" s="162"/>
      <c r="I193" s="162"/>
      <c r="J193" s="176"/>
    </row>
    <row r="194" spans="1:14" ht="16.5" customHeight="1" x14ac:dyDescent="0.25">
      <c r="A194" s="193" t="s">
        <v>261</v>
      </c>
      <c r="B194" s="194"/>
      <c r="C194" s="195"/>
      <c r="D194" s="5"/>
      <c r="E194" s="108"/>
      <c r="F194" s="5"/>
      <c r="G194" s="119"/>
      <c r="H194" s="116"/>
      <c r="I194" s="116"/>
      <c r="J194" s="115"/>
      <c r="L194" s="54"/>
      <c r="N194" s="54"/>
    </row>
    <row r="195" spans="1:14" ht="16.5" customHeight="1" x14ac:dyDescent="0.25">
      <c r="A195" s="156" t="s">
        <v>262</v>
      </c>
      <c r="B195" s="156"/>
      <c r="C195" s="156"/>
      <c r="D195" s="5">
        <v>17.309999999999999</v>
      </c>
      <c r="E195" s="108">
        <f>(((0.48*0.48)*3.14)/4)</f>
        <v>0.18085999999999999</v>
      </c>
      <c r="F195" s="52">
        <f>D195*E195</f>
        <v>3.1309999999999998</v>
      </c>
      <c r="G195" s="5">
        <f>J95</f>
        <v>15.15</v>
      </c>
      <c r="H195" s="116"/>
      <c r="I195" s="116"/>
      <c r="J195" s="115">
        <f>G195-F195</f>
        <v>12.02</v>
      </c>
      <c r="L195" s="54"/>
      <c r="N195" s="54"/>
    </row>
    <row r="196" spans="1:14" ht="16.5" customHeight="1" x14ac:dyDescent="0.25">
      <c r="A196" s="193" t="s">
        <v>263</v>
      </c>
      <c r="B196" s="194"/>
      <c r="C196" s="195"/>
      <c r="D196" s="5"/>
      <c r="E196" s="108"/>
      <c r="F196" s="5"/>
      <c r="G196" s="119"/>
      <c r="H196" s="116"/>
      <c r="I196" s="116"/>
      <c r="J196" s="115"/>
      <c r="L196" s="54"/>
      <c r="N196" s="54"/>
    </row>
    <row r="197" spans="1:14" ht="16.5" customHeight="1" x14ac:dyDescent="0.25">
      <c r="A197" s="182" t="s">
        <v>264</v>
      </c>
      <c r="B197" s="183"/>
      <c r="C197" s="184"/>
      <c r="D197" s="5">
        <v>5.2</v>
      </c>
      <c r="E197" s="108">
        <f>(((0.48*0.48)*3.14)/4)</f>
        <v>0.18085999999999999</v>
      </c>
      <c r="F197" s="52">
        <f>D197*E197</f>
        <v>0.94</v>
      </c>
      <c r="G197" s="179">
        <f>SUM(J97:J104)</f>
        <v>224.68</v>
      </c>
      <c r="H197" s="179"/>
      <c r="I197" s="179"/>
      <c r="J197" s="179">
        <f>G197-F205</f>
        <v>202.11</v>
      </c>
      <c r="L197" s="54"/>
      <c r="N197" s="54"/>
    </row>
    <row r="198" spans="1:14" ht="16.5" customHeight="1" x14ac:dyDescent="0.25">
      <c r="A198" s="196"/>
      <c r="B198" s="197"/>
      <c r="C198" s="198"/>
      <c r="D198" s="5">
        <v>2.6</v>
      </c>
      <c r="E198" s="108">
        <f t="shared" ref="E198:E204" si="10">(((0.48*0.48)*3.14)/4)</f>
        <v>0.18085999999999999</v>
      </c>
      <c r="F198" s="52">
        <f t="shared" ref="F198:F204" si="11">D198*E198</f>
        <v>0.47</v>
      </c>
      <c r="G198" s="180"/>
      <c r="H198" s="180"/>
      <c r="I198" s="180"/>
      <c r="J198" s="180"/>
      <c r="L198" s="54"/>
      <c r="N198" s="54"/>
    </row>
    <row r="199" spans="1:14" ht="16.5" customHeight="1" x14ac:dyDescent="0.25">
      <c r="A199" s="182" t="s">
        <v>265</v>
      </c>
      <c r="B199" s="183"/>
      <c r="C199" s="184"/>
      <c r="D199" s="5">
        <v>5.4</v>
      </c>
      <c r="E199" s="108">
        <f t="shared" si="10"/>
        <v>0.18085999999999999</v>
      </c>
      <c r="F199" s="52">
        <f t="shared" si="11"/>
        <v>0.97699999999999998</v>
      </c>
      <c r="G199" s="180"/>
      <c r="H199" s="180"/>
      <c r="I199" s="180"/>
      <c r="J199" s="180"/>
      <c r="L199" s="54"/>
      <c r="N199" s="54"/>
    </row>
    <row r="200" spans="1:14" ht="16.5" customHeight="1" x14ac:dyDescent="0.25">
      <c r="A200" s="196"/>
      <c r="B200" s="197"/>
      <c r="C200" s="198"/>
      <c r="D200" s="5">
        <v>3.1</v>
      </c>
      <c r="E200" s="108">
        <f t="shared" si="10"/>
        <v>0.18085999999999999</v>
      </c>
      <c r="F200" s="52">
        <f t="shared" si="11"/>
        <v>0.56100000000000005</v>
      </c>
      <c r="G200" s="180"/>
      <c r="H200" s="180"/>
      <c r="I200" s="180"/>
      <c r="J200" s="180"/>
      <c r="L200" s="54"/>
      <c r="N200" s="54"/>
    </row>
    <row r="201" spans="1:14" ht="16.5" customHeight="1" x14ac:dyDescent="0.25">
      <c r="A201" s="182" t="s">
        <v>266</v>
      </c>
      <c r="B201" s="183"/>
      <c r="C201" s="184"/>
      <c r="D201" s="5">
        <v>4.1500000000000004</v>
      </c>
      <c r="E201" s="108">
        <f t="shared" si="10"/>
        <v>0.18085999999999999</v>
      </c>
      <c r="F201" s="52">
        <f t="shared" si="11"/>
        <v>0.751</v>
      </c>
      <c r="G201" s="180"/>
      <c r="H201" s="180"/>
      <c r="I201" s="180"/>
      <c r="J201" s="180"/>
      <c r="L201" s="54"/>
      <c r="N201" s="54"/>
    </row>
    <row r="202" spans="1:14" ht="16.5" customHeight="1" x14ac:dyDescent="0.25">
      <c r="A202" s="196"/>
      <c r="B202" s="197"/>
      <c r="C202" s="198"/>
      <c r="D202" s="5">
        <v>3</v>
      </c>
      <c r="E202" s="108">
        <f t="shared" si="10"/>
        <v>0.18085999999999999</v>
      </c>
      <c r="F202" s="52">
        <f t="shared" si="11"/>
        <v>0.54300000000000004</v>
      </c>
      <c r="G202" s="180"/>
      <c r="H202" s="180"/>
      <c r="I202" s="180"/>
      <c r="J202" s="180"/>
      <c r="L202" s="54"/>
      <c r="N202" s="54"/>
    </row>
    <row r="203" spans="1:14" ht="16.5" customHeight="1" x14ac:dyDescent="0.25">
      <c r="A203" s="156" t="s">
        <v>267</v>
      </c>
      <c r="B203" s="156"/>
      <c r="C203" s="156"/>
      <c r="D203" s="5">
        <v>49.61</v>
      </c>
      <c r="E203" s="108">
        <f t="shared" si="10"/>
        <v>0.18085999999999999</v>
      </c>
      <c r="F203" s="52">
        <f t="shared" si="11"/>
        <v>8.9719999999999995</v>
      </c>
      <c r="G203" s="180"/>
      <c r="H203" s="180"/>
      <c r="I203" s="180"/>
      <c r="J203" s="180"/>
      <c r="L203" s="54"/>
      <c r="N203" s="54"/>
    </row>
    <row r="204" spans="1:14" ht="16.5" customHeight="1" x14ac:dyDescent="0.25">
      <c r="A204" s="156" t="s">
        <v>268</v>
      </c>
      <c r="B204" s="156"/>
      <c r="C204" s="156"/>
      <c r="D204" s="5">
        <v>51.73</v>
      </c>
      <c r="E204" s="108">
        <f t="shared" si="10"/>
        <v>0.18085999999999999</v>
      </c>
      <c r="F204" s="52">
        <f t="shared" si="11"/>
        <v>9.3559999999999999</v>
      </c>
      <c r="G204" s="180"/>
      <c r="H204" s="180"/>
      <c r="I204" s="180"/>
      <c r="J204" s="180"/>
      <c r="L204" s="54"/>
      <c r="N204" s="54"/>
    </row>
    <row r="205" spans="1:14" ht="16.5" customHeight="1" x14ac:dyDescent="0.25">
      <c r="A205" s="163" t="s">
        <v>139</v>
      </c>
      <c r="B205" s="164"/>
      <c r="C205" s="164"/>
      <c r="D205" s="164"/>
      <c r="E205" s="165"/>
      <c r="F205" s="109">
        <f>SUM(F197:F204)</f>
        <v>22.57</v>
      </c>
      <c r="G205" s="181"/>
      <c r="H205" s="181"/>
      <c r="I205" s="181"/>
      <c r="J205" s="181"/>
      <c r="L205" s="54"/>
      <c r="N205" s="54"/>
    </row>
    <row r="206" spans="1:14" ht="16.5" customHeight="1" x14ac:dyDescent="0.25">
      <c r="A206" s="122"/>
      <c r="B206" s="123"/>
      <c r="C206" s="123"/>
      <c r="D206" s="117"/>
      <c r="E206" s="118"/>
      <c r="F206" s="109"/>
      <c r="G206" s="119"/>
      <c r="H206" s="116"/>
      <c r="I206" s="116"/>
      <c r="J206" s="115"/>
      <c r="L206" s="54"/>
      <c r="N206" s="54"/>
    </row>
    <row r="207" spans="1:14" ht="16.5" customHeight="1" x14ac:dyDescent="0.25">
      <c r="A207" s="156" t="s">
        <v>279</v>
      </c>
      <c r="B207" s="156"/>
      <c r="C207" s="156"/>
      <c r="D207" s="5">
        <v>49.71</v>
      </c>
      <c r="E207" s="108">
        <f>(((0.71*0.71)*3.14)/4)</f>
        <v>0.39572000000000002</v>
      </c>
      <c r="F207" s="109">
        <f>D207*E207</f>
        <v>19.670000000000002</v>
      </c>
      <c r="G207" s="179">
        <f>J115</f>
        <v>603.62</v>
      </c>
      <c r="H207" s="160"/>
      <c r="I207" s="160"/>
      <c r="J207" s="160">
        <f>G207-F213</f>
        <v>478.96</v>
      </c>
      <c r="L207" s="54"/>
      <c r="N207" s="54"/>
    </row>
    <row r="208" spans="1:14" ht="16.5" customHeight="1" x14ac:dyDescent="0.25">
      <c r="A208" s="156" t="s">
        <v>280</v>
      </c>
      <c r="B208" s="156"/>
      <c r="C208" s="156"/>
      <c r="D208" s="5">
        <v>10.210000000000001</v>
      </c>
      <c r="E208" s="108">
        <f t="shared" ref="E208:E212" si="12">(((0.71*0.71)*3.14)/4)</f>
        <v>0.39572000000000002</v>
      </c>
      <c r="F208" s="109">
        <f t="shared" ref="F208:F211" si="13">D208*E208</f>
        <v>4.04</v>
      </c>
      <c r="G208" s="180"/>
      <c r="H208" s="161"/>
      <c r="I208" s="161"/>
      <c r="J208" s="161"/>
      <c r="L208" s="54"/>
      <c r="N208" s="54"/>
    </row>
    <row r="209" spans="1:14" ht="16.5" customHeight="1" x14ac:dyDescent="0.25">
      <c r="A209" s="156" t="s">
        <v>281</v>
      </c>
      <c r="B209" s="156"/>
      <c r="C209" s="156"/>
      <c r="D209" s="5">
        <v>68.099999999999994</v>
      </c>
      <c r="E209" s="108">
        <f t="shared" si="12"/>
        <v>0.39572000000000002</v>
      </c>
      <c r="F209" s="109">
        <f t="shared" si="13"/>
        <v>26.95</v>
      </c>
      <c r="G209" s="180"/>
      <c r="H209" s="161"/>
      <c r="I209" s="161"/>
      <c r="J209" s="161"/>
      <c r="L209" s="54"/>
      <c r="N209" s="54"/>
    </row>
    <row r="210" spans="1:14" ht="16.5" customHeight="1" x14ac:dyDescent="0.25">
      <c r="A210" s="156" t="s">
        <v>282</v>
      </c>
      <c r="B210" s="156"/>
      <c r="C210" s="156"/>
      <c r="D210" s="5">
        <v>91.99</v>
      </c>
      <c r="E210" s="108">
        <f t="shared" si="12"/>
        <v>0.39572000000000002</v>
      </c>
      <c r="F210" s="109">
        <f t="shared" si="13"/>
        <v>36.4</v>
      </c>
      <c r="G210" s="180"/>
      <c r="H210" s="161"/>
      <c r="I210" s="161"/>
      <c r="J210" s="161"/>
      <c r="L210" s="54"/>
      <c r="N210" s="54"/>
    </row>
    <row r="211" spans="1:14" ht="16.5" customHeight="1" x14ac:dyDescent="0.25">
      <c r="A211" s="156" t="s">
        <v>283</v>
      </c>
      <c r="B211" s="156"/>
      <c r="C211" s="156"/>
      <c r="D211" s="5">
        <v>64.44</v>
      </c>
      <c r="E211" s="108">
        <f t="shared" si="12"/>
        <v>0.39572000000000002</v>
      </c>
      <c r="F211" s="109">
        <f t="shared" si="13"/>
        <v>25.5</v>
      </c>
      <c r="G211" s="180"/>
      <c r="H211" s="161"/>
      <c r="I211" s="161"/>
      <c r="J211" s="161"/>
      <c r="L211" s="54"/>
      <c r="N211" s="54"/>
    </row>
    <row r="212" spans="1:14" ht="16.5" customHeight="1" x14ac:dyDescent="0.25">
      <c r="A212" s="156" t="s">
        <v>284</v>
      </c>
      <c r="B212" s="156"/>
      <c r="C212" s="156"/>
      <c r="D212" s="5">
        <v>30.58</v>
      </c>
      <c r="E212" s="108">
        <f t="shared" si="12"/>
        <v>0.39572000000000002</v>
      </c>
      <c r="F212" s="109">
        <f>D212*E212</f>
        <v>12.1</v>
      </c>
      <c r="G212" s="180"/>
      <c r="H212" s="161"/>
      <c r="I212" s="161"/>
      <c r="J212" s="161"/>
      <c r="L212" s="54"/>
      <c r="N212" s="54"/>
    </row>
    <row r="213" spans="1:14" ht="16.5" customHeight="1" x14ac:dyDescent="0.25">
      <c r="A213" s="163" t="s">
        <v>139</v>
      </c>
      <c r="B213" s="164"/>
      <c r="C213" s="164"/>
      <c r="D213" s="164"/>
      <c r="E213" s="165"/>
      <c r="F213" s="109">
        <f>SUM(F207:F212)</f>
        <v>124.66</v>
      </c>
      <c r="G213" s="181"/>
      <c r="H213" s="162"/>
      <c r="I213" s="162"/>
      <c r="J213" s="162"/>
      <c r="L213" s="54"/>
      <c r="N213" s="54"/>
    </row>
    <row r="214" spans="1:14" ht="16.5" customHeight="1" x14ac:dyDescent="0.25">
      <c r="A214" s="159" t="str">
        <f>"TOTAL - "&amp;'Plan. Orçamentária'!F39</f>
        <v>TOTAL - M3</v>
      </c>
      <c r="B214" s="159"/>
      <c r="C214" s="159"/>
      <c r="D214" s="159"/>
      <c r="E214" s="159"/>
      <c r="F214" s="159"/>
      <c r="G214" s="159"/>
      <c r="H214" s="159"/>
      <c r="I214" s="159"/>
      <c r="J214" s="41">
        <f>SUM(J187:J213)</f>
        <v>836.36</v>
      </c>
    </row>
    <row r="215" spans="1:14" ht="16.5" customHeight="1" x14ac:dyDescent="0.25">
      <c r="A215" s="16" t="str">
        <f>'Plan. Orçamentária'!A40</f>
        <v>5.10</v>
      </c>
      <c r="B215" s="171" t="str">
        <f>'Plan. Orçamentária'!D40</f>
        <v>Ala de rede tubular DN 600, exclusive bota fora</v>
      </c>
      <c r="C215" s="171"/>
      <c r="D215" s="171"/>
      <c r="E215" s="171"/>
      <c r="F215" s="171"/>
      <c r="G215" s="171"/>
      <c r="H215" s="171"/>
      <c r="I215" s="171"/>
      <c r="J215" s="171"/>
    </row>
    <row r="216" spans="1:14" ht="16.5" customHeight="1" x14ac:dyDescent="0.25">
      <c r="A216" s="175" t="s">
        <v>12</v>
      </c>
      <c r="B216" s="175"/>
      <c r="C216" s="175"/>
      <c r="D216" s="124" t="s">
        <v>13</v>
      </c>
      <c r="E216" s="124" t="s">
        <v>14</v>
      </c>
      <c r="F216" s="124" t="s">
        <v>15</v>
      </c>
      <c r="G216" s="124" t="s">
        <v>16</v>
      </c>
      <c r="H216" s="124" t="s">
        <v>18</v>
      </c>
      <c r="I216" s="124" t="s">
        <v>27</v>
      </c>
      <c r="J216" s="125" t="s">
        <v>47</v>
      </c>
    </row>
    <row r="217" spans="1:14" ht="16.5" customHeight="1" x14ac:dyDescent="0.25">
      <c r="A217" s="172" t="s">
        <v>295</v>
      </c>
      <c r="B217" s="173"/>
      <c r="C217" s="174"/>
      <c r="D217" s="5"/>
      <c r="E217" s="5"/>
      <c r="F217" s="52"/>
      <c r="G217" s="5">
        <v>1</v>
      </c>
      <c r="H217" s="127"/>
      <c r="I217" s="127"/>
      <c r="J217" s="127">
        <f>PRODUCT(D217:H217)-I217</f>
        <v>1</v>
      </c>
    </row>
    <row r="218" spans="1:14" ht="16.5" customHeight="1" x14ac:dyDescent="0.25">
      <c r="A218" s="159" t="str">
        <f>"TOTAL - "&amp;'Plan. Orçamentária'!F40</f>
        <v>TOTAL - UN</v>
      </c>
      <c r="B218" s="159"/>
      <c r="C218" s="159"/>
      <c r="D218" s="159"/>
      <c r="E218" s="159"/>
      <c r="F218" s="159"/>
      <c r="G218" s="159"/>
      <c r="H218" s="159"/>
      <c r="I218" s="159"/>
      <c r="J218" s="41">
        <f>SUM(J217:J217)</f>
        <v>1</v>
      </c>
    </row>
    <row r="219" spans="1:14" ht="16.5" customHeight="1" x14ac:dyDescent="0.25">
      <c r="A219" s="16" t="str">
        <f>'Plan. Orçamentária'!A41</f>
        <v>5.11</v>
      </c>
      <c r="B219" s="171" t="str">
        <f>'Plan. Orçamentária'!D41</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219" s="171"/>
      <c r="D219" s="171"/>
      <c r="E219" s="171"/>
      <c r="F219" s="171"/>
      <c r="G219" s="171"/>
      <c r="H219" s="171"/>
      <c r="I219" s="171"/>
      <c r="J219" s="171"/>
    </row>
    <row r="220" spans="1:14" ht="25.5" customHeight="1" x14ac:dyDescent="0.25">
      <c r="A220" s="175" t="s">
        <v>12</v>
      </c>
      <c r="B220" s="175"/>
      <c r="C220" s="175"/>
      <c r="D220" s="79" t="s">
        <v>13</v>
      </c>
      <c r="E220" s="79" t="s">
        <v>14</v>
      </c>
      <c r="F220" s="79" t="s">
        <v>15</v>
      </c>
      <c r="G220" s="79" t="s">
        <v>16</v>
      </c>
      <c r="H220" s="79" t="s">
        <v>18</v>
      </c>
      <c r="I220" s="79" t="s">
        <v>27</v>
      </c>
      <c r="J220" s="77" t="s">
        <v>47</v>
      </c>
    </row>
    <row r="221" spans="1:14" ht="16.5" customHeight="1" x14ac:dyDescent="0.25">
      <c r="A221" s="156" t="s">
        <v>289</v>
      </c>
      <c r="B221" s="156"/>
      <c r="C221" s="156"/>
      <c r="D221" s="5"/>
      <c r="E221" s="5"/>
      <c r="F221" s="52"/>
      <c r="G221" s="5">
        <v>1</v>
      </c>
      <c r="H221" s="76"/>
      <c r="I221" s="76"/>
      <c r="J221" s="76">
        <f>PRODUCT(D221:H221)-I221</f>
        <v>1</v>
      </c>
      <c r="L221" s="54"/>
      <c r="N221" s="54"/>
    </row>
    <row r="222" spans="1:14" ht="16.5" customHeight="1" x14ac:dyDescent="0.25">
      <c r="A222" s="172" t="s">
        <v>290</v>
      </c>
      <c r="B222" s="173"/>
      <c r="C222" s="174"/>
      <c r="D222" s="5"/>
      <c r="E222" s="5"/>
      <c r="F222" s="52"/>
      <c r="G222" s="5">
        <v>7</v>
      </c>
      <c r="H222" s="127"/>
      <c r="I222" s="127"/>
      <c r="J222" s="127">
        <f>PRODUCT(D222:H222)-I222</f>
        <v>7</v>
      </c>
      <c r="L222" s="54"/>
      <c r="N222" s="54"/>
    </row>
    <row r="223" spans="1:14" ht="16.5" customHeight="1" x14ac:dyDescent="0.25">
      <c r="A223" s="159" t="str">
        <f>"TOTAL - "&amp;'Plan. Orçamentária'!F52</f>
        <v>TOTAL - M2</v>
      </c>
      <c r="B223" s="159"/>
      <c r="C223" s="159"/>
      <c r="D223" s="159"/>
      <c r="E223" s="159"/>
      <c r="F223" s="159"/>
      <c r="G223" s="159"/>
      <c r="H223" s="159"/>
      <c r="I223" s="159"/>
      <c r="J223" s="41">
        <f>SUM(J221:J222)</f>
        <v>8</v>
      </c>
    </row>
    <row r="224" spans="1:14" s="75" customFormat="1" ht="25.5" customHeight="1" x14ac:dyDescent="0.25">
      <c r="A224" s="83" t="str">
        <f>'Plan. Orçamentária'!A42</f>
        <v>5.12</v>
      </c>
      <c r="B224" s="167" t="str">
        <f>'Plan. Orçamentária'!D42</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224" s="168"/>
      <c r="D224" s="168"/>
      <c r="E224" s="168"/>
      <c r="F224" s="168"/>
      <c r="G224" s="168"/>
      <c r="H224" s="168"/>
      <c r="I224" s="168"/>
      <c r="J224" s="169"/>
    </row>
    <row r="225" spans="1:10" s="75" customFormat="1" ht="16.5" customHeight="1" x14ac:dyDescent="0.25">
      <c r="A225" s="170" t="s">
        <v>12</v>
      </c>
      <c r="B225" s="170"/>
      <c r="C225" s="170"/>
      <c r="D225" s="97" t="s">
        <v>13</v>
      </c>
      <c r="E225" s="97" t="s">
        <v>14</v>
      </c>
      <c r="F225" s="97" t="s">
        <v>15</v>
      </c>
      <c r="G225" s="97" t="s">
        <v>119</v>
      </c>
      <c r="H225" s="97" t="s">
        <v>195</v>
      </c>
      <c r="I225" s="97" t="s">
        <v>18</v>
      </c>
      <c r="J225" s="97" t="s">
        <v>19</v>
      </c>
    </row>
    <row r="226" spans="1:10" s="75" customFormat="1" ht="16.5" customHeight="1" x14ac:dyDescent="0.25">
      <c r="A226" s="217" t="s">
        <v>260</v>
      </c>
      <c r="B226" s="218"/>
      <c r="C226" s="219"/>
      <c r="D226" s="126"/>
      <c r="E226" s="126"/>
      <c r="F226" s="126"/>
      <c r="G226" s="126"/>
      <c r="H226" s="126"/>
      <c r="I226" s="126"/>
      <c r="J226" s="126"/>
    </row>
    <row r="227" spans="1:10" s="75" customFormat="1" ht="16.5" customHeight="1" x14ac:dyDescent="0.25">
      <c r="A227" s="166" t="s">
        <v>227</v>
      </c>
      <c r="B227" s="166"/>
      <c r="C227" s="166"/>
      <c r="D227" s="101"/>
      <c r="E227" s="101"/>
      <c r="F227" s="101"/>
      <c r="G227" s="101">
        <v>1</v>
      </c>
      <c r="H227" s="101"/>
      <c r="I227" s="101"/>
      <c r="J227" s="101">
        <f>PRODUCT(D227:I227)</f>
        <v>1</v>
      </c>
    </row>
    <row r="228" spans="1:10" s="75" customFormat="1" ht="16.5" customHeight="1" x14ac:dyDescent="0.25">
      <c r="A228" s="166" t="s">
        <v>228</v>
      </c>
      <c r="B228" s="166"/>
      <c r="C228" s="166"/>
      <c r="D228" s="101"/>
      <c r="E228" s="101"/>
      <c r="F228" s="101"/>
      <c r="G228" s="101">
        <v>1</v>
      </c>
      <c r="H228" s="101"/>
      <c r="I228" s="101"/>
      <c r="J228" s="101">
        <f>PRODUCT(D228:I228)</f>
        <v>1</v>
      </c>
    </row>
    <row r="229" spans="1:10" s="75" customFormat="1" ht="16.5" customHeight="1" x14ac:dyDescent="0.25">
      <c r="A229" s="166" t="s">
        <v>239</v>
      </c>
      <c r="B229" s="166"/>
      <c r="C229" s="166"/>
      <c r="D229" s="101"/>
      <c r="E229" s="101"/>
      <c r="F229" s="101"/>
      <c r="G229" s="101">
        <v>1</v>
      </c>
      <c r="H229" s="101"/>
      <c r="I229" s="101"/>
      <c r="J229" s="101">
        <f>PRODUCT(D229:I229)</f>
        <v>1</v>
      </c>
    </row>
    <row r="230" spans="1:10" s="75" customFormat="1" ht="16.5" customHeight="1" x14ac:dyDescent="0.25">
      <c r="A230" s="193" t="s">
        <v>263</v>
      </c>
      <c r="B230" s="194"/>
      <c r="C230" s="195"/>
      <c r="D230" s="101"/>
      <c r="E230" s="101"/>
      <c r="F230" s="101"/>
      <c r="G230" s="101"/>
      <c r="H230" s="101"/>
      <c r="I230" s="101"/>
      <c r="J230" s="101"/>
    </row>
    <row r="231" spans="1:10" s="75" customFormat="1" ht="16.5" customHeight="1" x14ac:dyDescent="0.25">
      <c r="A231" s="172" t="s">
        <v>291</v>
      </c>
      <c r="B231" s="173"/>
      <c r="C231" s="174"/>
      <c r="D231" s="101"/>
      <c r="E231" s="101"/>
      <c r="F231" s="101"/>
      <c r="G231" s="101">
        <v>1</v>
      </c>
      <c r="H231" s="101"/>
      <c r="I231" s="101"/>
      <c r="J231" s="101">
        <f>PRODUCT(D231:I231)</f>
        <v>1</v>
      </c>
    </row>
    <row r="232" spans="1:10" s="75" customFormat="1" ht="16.5" customHeight="1" x14ac:dyDescent="0.25">
      <c r="A232" s="159" t="str">
        <f>"TOTAL - "&amp;'[2]Planilha orçamentária'!F47</f>
        <v>TOTAL - UN</v>
      </c>
      <c r="B232" s="159"/>
      <c r="C232" s="159"/>
      <c r="D232" s="159"/>
      <c r="E232" s="159"/>
      <c r="F232" s="159"/>
      <c r="G232" s="159"/>
      <c r="H232" s="159"/>
      <c r="I232" s="159"/>
      <c r="J232" s="104">
        <f>SUM(J227:J231)</f>
        <v>4</v>
      </c>
    </row>
    <row r="233" spans="1:10" ht="38.25" customHeight="1" x14ac:dyDescent="0.25">
      <c r="A233" s="16" t="str">
        <f>'Plan. Orçamentária'!A43</f>
        <v>5.13</v>
      </c>
      <c r="B233" s="158" t="str">
        <f>'Plan. Orçamentária'!D43</f>
        <v>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v>
      </c>
      <c r="C233" s="158"/>
      <c r="D233" s="158"/>
      <c r="E233" s="158"/>
      <c r="F233" s="158"/>
      <c r="G233" s="158"/>
      <c r="H233" s="158"/>
      <c r="I233" s="158"/>
      <c r="J233" s="158"/>
    </row>
    <row r="234" spans="1:10" ht="16.5" customHeight="1" x14ac:dyDescent="0.25">
      <c r="A234" s="157" t="s">
        <v>12</v>
      </c>
      <c r="B234" s="157"/>
      <c r="C234" s="157"/>
      <c r="D234" s="46" t="s">
        <v>13</v>
      </c>
      <c r="E234" s="46" t="s">
        <v>14</v>
      </c>
      <c r="F234" s="46" t="s">
        <v>15</v>
      </c>
      <c r="G234" s="46" t="s">
        <v>16</v>
      </c>
      <c r="H234" s="46" t="s">
        <v>18</v>
      </c>
      <c r="I234" s="46" t="s">
        <v>27</v>
      </c>
      <c r="J234" s="46" t="s">
        <v>19</v>
      </c>
    </row>
    <row r="235" spans="1:10" ht="16.5" customHeight="1" x14ac:dyDescent="0.25">
      <c r="A235" s="217" t="s">
        <v>260</v>
      </c>
      <c r="B235" s="218"/>
      <c r="C235" s="219"/>
      <c r="D235" s="5"/>
      <c r="E235" s="5"/>
      <c r="F235" s="5"/>
      <c r="G235" s="5"/>
      <c r="H235" s="5"/>
      <c r="I235" s="5"/>
      <c r="J235" s="5"/>
    </row>
    <row r="236" spans="1:10" ht="16.5" customHeight="1" x14ac:dyDescent="0.25">
      <c r="A236" s="156" t="s">
        <v>297</v>
      </c>
      <c r="B236" s="156"/>
      <c r="C236" s="156"/>
      <c r="D236" s="5"/>
      <c r="E236" s="5"/>
      <c r="F236" s="5"/>
      <c r="G236" s="5">
        <v>3</v>
      </c>
      <c r="H236" s="5"/>
      <c r="I236" s="5"/>
      <c r="J236" s="5">
        <f>PRODUCT(D236:H236)-I236</f>
        <v>3</v>
      </c>
    </row>
    <row r="237" spans="1:10" ht="16.5" customHeight="1" x14ac:dyDescent="0.25">
      <c r="A237" s="156" t="s">
        <v>298</v>
      </c>
      <c r="B237" s="156"/>
      <c r="C237" s="156"/>
      <c r="D237" s="5"/>
      <c r="E237" s="5"/>
      <c r="F237" s="5"/>
      <c r="G237" s="5">
        <v>4</v>
      </c>
      <c r="H237" s="5"/>
      <c r="I237" s="5"/>
      <c r="J237" s="5">
        <f>PRODUCT(D237:H237)-I237</f>
        <v>4</v>
      </c>
    </row>
    <row r="238" spans="1:10" ht="16.5" customHeight="1" x14ac:dyDescent="0.25">
      <c r="A238" s="193" t="s">
        <v>261</v>
      </c>
      <c r="B238" s="194"/>
      <c r="C238" s="195"/>
      <c r="D238" s="5"/>
      <c r="E238" s="5"/>
      <c r="F238" s="5"/>
      <c r="G238" s="5"/>
      <c r="H238" s="5"/>
      <c r="I238" s="5"/>
      <c r="J238" s="5"/>
    </row>
    <row r="239" spans="1:10" ht="16.5" customHeight="1" x14ac:dyDescent="0.25">
      <c r="A239" s="172" t="s">
        <v>296</v>
      </c>
      <c r="B239" s="173"/>
      <c r="C239" s="174"/>
      <c r="D239" s="5"/>
      <c r="E239" s="5"/>
      <c r="F239" s="5"/>
      <c r="G239" s="5">
        <v>4</v>
      </c>
      <c r="H239" s="5"/>
      <c r="I239" s="5"/>
      <c r="J239" s="5">
        <f>PRODUCT(D239:H239)-I239</f>
        <v>4</v>
      </c>
    </row>
    <row r="240" spans="1:10" ht="16.5" customHeight="1" x14ac:dyDescent="0.25">
      <c r="A240" s="193" t="s">
        <v>263</v>
      </c>
      <c r="B240" s="194"/>
      <c r="C240" s="195"/>
      <c r="D240" s="5"/>
      <c r="E240" s="5"/>
      <c r="F240" s="5"/>
      <c r="G240" s="5"/>
      <c r="H240" s="5"/>
      <c r="I240" s="5"/>
      <c r="J240" s="5"/>
    </row>
    <row r="241" spans="1:10" ht="16.5" customHeight="1" x14ac:dyDescent="0.25">
      <c r="A241" s="172" t="s">
        <v>296</v>
      </c>
      <c r="B241" s="173"/>
      <c r="C241" s="174"/>
      <c r="D241" s="5"/>
      <c r="E241" s="5"/>
      <c r="F241" s="5"/>
      <c r="G241" s="5">
        <v>6</v>
      </c>
      <c r="H241" s="5"/>
      <c r="I241" s="5"/>
      <c r="J241" s="5">
        <f>PRODUCT(D241:H241)-I241</f>
        <v>6</v>
      </c>
    </row>
    <row r="242" spans="1:10" ht="16.5" customHeight="1" x14ac:dyDescent="0.25">
      <c r="A242" s="159" t="str">
        <f>"TOTAL - "&amp;'Plan. Orçamentária'!F43</f>
        <v>TOTAL - UN</v>
      </c>
      <c r="B242" s="159"/>
      <c r="C242" s="159"/>
      <c r="D242" s="159"/>
      <c r="E242" s="159"/>
      <c r="F242" s="159"/>
      <c r="G242" s="159"/>
      <c r="H242" s="159"/>
      <c r="I242" s="159"/>
      <c r="J242" s="41">
        <f>SUM(J236:J241)</f>
        <v>17</v>
      </c>
    </row>
    <row r="243" spans="1:10" ht="16.5" customHeight="1" x14ac:dyDescent="0.25">
      <c r="A243" s="48">
        <f>'Plan. Orçamentária'!A45</f>
        <v>6</v>
      </c>
      <c r="B243" s="214" t="str">
        <f>'Plan. Orçamentária'!D45</f>
        <v>PAVIMENTAÇÃO</v>
      </c>
      <c r="C243" s="214"/>
      <c r="D243" s="214"/>
      <c r="E243" s="214"/>
      <c r="F243" s="214"/>
      <c r="G243" s="214"/>
      <c r="H243" s="214"/>
      <c r="I243" s="214"/>
      <c r="J243" s="214"/>
    </row>
    <row r="244" spans="1:10" ht="16.5" customHeight="1" x14ac:dyDescent="0.25">
      <c r="A244" s="16" t="str">
        <f>'Plan. Orçamentária'!A46</f>
        <v>6.1</v>
      </c>
      <c r="B244" s="158" t="str">
        <f>'Plan. Orçamentária'!D46</f>
        <v>Demolição manual de pavimento poliédrica, inclusive afastamento</v>
      </c>
      <c r="C244" s="158"/>
      <c r="D244" s="158"/>
      <c r="E244" s="158"/>
      <c r="F244" s="158"/>
      <c r="G244" s="158"/>
      <c r="H244" s="158"/>
      <c r="I244" s="158"/>
      <c r="J244" s="158"/>
    </row>
    <row r="245" spans="1:10" ht="16.5" customHeight="1" x14ac:dyDescent="0.25">
      <c r="A245" s="157" t="s">
        <v>12</v>
      </c>
      <c r="B245" s="157"/>
      <c r="C245" s="157"/>
      <c r="D245" s="46" t="s">
        <v>13</v>
      </c>
      <c r="E245" s="46" t="s">
        <v>14</v>
      </c>
      <c r="F245" s="46" t="s">
        <v>15</v>
      </c>
      <c r="G245" s="46" t="s">
        <v>16</v>
      </c>
      <c r="H245" s="46" t="s">
        <v>18</v>
      </c>
      <c r="I245" s="46" t="s">
        <v>27</v>
      </c>
      <c r="J245" s="46" t="s">
        <v>19</v>
      </c>
    </row>
    <row r="246" spans="1:10" ht="16.5" customHeight="1" x14ac:dyDescent="0.25">
      <c r="A246" s="217" t="s">
        <v>260</v>
      </c>
      <c r="B246" s="218"/>
      <c r="C246" s="219"/>
      <c r="D246" s="5"/>
      <c r="E246" s="5"/>
      <c r="F246" s="5"/>
      <c r="G246" s="5"/>
      <c r="H246" s="5"/>
      <c r="I246" s="5"/>
      <c r="J246" s="5"/>
    </row>
    <row r="247" spans="1:10" ht="16.5" customHeight="1" x14ac:dyDescent="0.25">
      <c r="A247" s="156" t="s">
        <v>182</v>
      </c>
      <c r="B247" s="156"/>
      <c r="C247" s="156"/>
      <c r="D247" s="5"/>
      <c r="E247" s="5"/>
      <c r="F247" s="5"/>
      <c r="G247" s="5"/>
      <c r="H247" s="5">
        <v>1657.89</v>
      </c>
      <c r="I247" s="5"/>
      <c r="J247" s="5">
        <f>PRODUCT(D247:H247)-I247</f>
        <v>1657.89</v>
      </c>
    </row>
    <row r="248" spans="1:10" ht="16.5" customHeight="1" x14ac:dyDescent="0.25">
      <c r="A248" s="156" t="s">
        <v>181</v>
      </c>
      <c r="B248" s="156"/>
      <c r="C248" s="156"/>
      <c r="D248" s="5"/>
      <c r="E248" s="5"/>
      <c r="F248" s="5"/>
      <c r="G248" s="5"/>
      <c r="H248" s="5">
        <v>499.36</v>
      </c>
      <c r="I248" s="5"/>
      <c r="J248" s="5">
        <f>PRODUCT(D248:H248)-I248</f>
        <v>499.36</v>
      </c>
    </row>
    <row r="249" spans="1:10" ht="16.5" customHeight="1" x14ac:dyDescent="0.25">
      <c r="A249" s="193" t="s">
        <v>261</v>
      </c>
      <c r="B249" s="194"/>
      <c r="C249" s="195"/>
      <c r="D249" s="5"/>
      <c r="E249" s="5"/>
      <c r="F249" s="5"/>
      <c r="G249" s="5"/>
      <c r="H249" s="5"/>
      <c r="I249" s="5"/>
      <c r="J249" s="5"/>
    </row>
    <row r="250" spans="1:10" ht="16.5" customHeight="1" x14ac:dyDescent="0.25">
      <c r="A250" s="156" t="s">
        <v>299</v>
      </c>
      <c r="B250" s="156"/>
      <c r="C250" s="156"/>
      <c r="D250" s="5"/>
      <c r="E250" s="5"/>
      <c r="F250" s="5"/>
      <c r="G250" s="5"/>
      <c r="H250" s="5">
        <v>408.47</v>
      </c>
      <c r="I250" s="5"/>
      <c r="J250" s="5">
        <f>PRODUCT(D250:H250)-I250</f>
        <v>408.47</v>
      </c>
    </row>
    <row r="251" spans="1:10" ht="16.5" customHeight="1" x14ac:dyDescent="0.25">
      <c r="A251" s="156" t="s">
        <v>300</v>
      </c>
      <c r="B251" s="156"/>
      <c r="C251" s="156"/>
      <c r="D251" s="5"/>
      <c r="E251" s="5"/>
      <c r="F251" s="5"/>
      <c r="G251" s="5"/>
      <c r="H251" s="5">
        <v>423.62</v>
      </c>
      <c r="I251" s="5"/>
      <c r="J251" s="5">
        <f>PRODUCT(D251:H251)-I251</f>
        <v>423.62</v>
      </c>
    </row>
    <row r="252" spans="1:10" ht="16.5" customHeight="1" x14ac:dyDescent="0.25">
      <c r="A252" s="193" t="s">
        <v>263</v>
      </c>
      <c r="B252" s="194"/>
      <c r="C252" s="195"/>
      <c r="D252" s="5"/>
      <c r="E252" s="5"/>
      <c r="F252" s="5"/>
      <c r="G252" s="5"/>
      <c r="H252" s="5"/>
      <c r="I252" s="5"/>
      <c r="J252" s="5"/>
    </row>
    <row r="253" spans="1:10" ht="16.5" customHeight="1" x14ac:dyDescent="0.25">
      <c r="A253" s="172" t="s">
        <v>49</v>
      </c>
      <c r="B253" s="173"/>
      <c r="C253" s="174"/>
      <c r="D253" s="5"/>
      <c r="E253" s="5"/>
      <c r="F253" s="5"/>
      <c r="G253" s="5"/>
      <c r="H253" s="5">
        <v>3032.29</v>
      </c>
      <c r="I253" s="5"/>
      <c r="J253" s="5">
        <f>PRODUCT(D253:H253)-I253</f>
        <v>3032.29</v>
      </c>
    </row>
    <row r="254" spans="1:10" ht="16.5" customHeight="1" x14ac:dyDescent="0.25">
      <c r="A254" s="159" t="str">
        <f>"TOTAL - "&amp;'Plan. Orçamentária'!F46</f>
        <v>TOTAL - M2</v>
      </c>
      <c r="B254" s="159"/>
      <c r="C254" s="159"/>
      <c r="D254" s="159"/>
      <c r="E254" s="159"/>
      <c r="F254" s="159"/>
      <c r="G254" s="159"/>
      <c r="H254" s="159"/>
      <c r="I254" s="159"/>
      <c r="J254" s="41">
        <f>SUM(J247:J253)</f>
        <v>6021.63</v>
      </c>
    </row>
    <row r="255" spans="1:10" ht="16.5" customHeight="1" x14ac:dyDescent="0.25">
      <c r="A255" s="16" t="str">
        <f>'Plan. Orçamentária'!A47</f>
        <v>6.2</v>
      </c>
      <c r="B255" s="158" t="str">
        <f>'Plan. Orçamentária'!D47</f>
        <v>Carga de material de qualquer natureza sobre caminhão basculante, de forma mecanizada</v>
      </c>
      <c r="C255" s="158"/>
      <c r="D255" s="158"/>
      <c r="E255" s="158"/>
      <c r="F255" s="158"/>
      <c r="G255" s="158"/>
      <c r="H255" s="158"/>
      <c r="I255" s="158"/>
      <c r="J255" s="158"/>
    </row>
    <row r="256" spans="1:10" ht="16.5" customHeight="1" x14ac:dyDescent="0.25">
      <c r="A256" s="157" t="s">
        <v>12</v>
      </c>
      <c r="B256" s="157"/>
      <c r="C256" s="157"/>
      <c r="D256" s="46" t="s">
        <v>13</v>
      </c>
      <c r="E256" s="46" t="s">
        <v>14</v>
      </c>
      <c r="F256" s="46" t="s">
        <v>15</v>
      </c>
      <c r="G256" s="46" t="s">
        <v>119</v>
      </c>
      <c r="H256" s="46" t="s">
        <v>120</v>
      </c>
      <c r="I256" s="46" t="s">
        <v>121</v>
      </c>
      <c r="J256" s="46" t="s">
        <v>19</v>
      </c>
    </row>
    <row r="257" spans="1:10" ht="25.5" customHeight="1" x14ac:dyDescent="0.25">
      <c r="A257" s="156" t="s">
        <v>122</v>
      </c>
      <c r="B257" s="156"/>
      <c r="C257" s="156"/>
      <c r="D257" s="5"/>
      <c r="E257" s="5"/>
      <c r="F257" s="5">
        <v>0.16</v>
      </c>
      <c r="G257" s="5">
        <f>J254</f>
        <v>6021.63</v>
      </c>
      <c r="H257" s="5"/>
      <c r="I257" s="5">
        <v>1.5</v>
      </c>
      <c r="J257" s="5">
        <f>PRODUCT(D257:I257)</f>
        <v>1445.19</v>
      </c>
    </row>
    <row r="258" spans="1:10" ht="16.5" customHeight="1" x14ac:dyDescent="0.25">
      <c r="A258" s="159" t="str">
        <f>"TOTAL - "&amp;'Plan. Orçamentária'!F47</f>
        <v>TOTAL - M3</v>
      </c>
      <c r="B258" s="159"/>
      <c r="C258" s="159"/>
      <c r="D258" s="159"/>
      <c r="E258" s="159"/>
      <c r="F258" s="159"/>
      <c r="G258" s="159"/>
      <c r="H258" s="159"/>
      <c r="I258" s="159"/>
      <c r="J258" s="41">
        <f>SUM(J257:J257)</f>
        <v>1445.19</v>
      </c>
    </row>
    <row r="259" spans="1:10" ht="16.5" customHeight="1" x14ac:dyDescent="0.25">
      <c r="A259" s="16" t="str">
        <f>'Plan. Orçamentária'!A48</f>
        <v>6.3</v>
      </c>
      <c r="B259" s="158" t="str">
        <f>'Plan. Orçamentária'!D48</f>
        <v>Transporte de material de qualquer natureza em caminhão basculante, DMT &gt; 5km, dentro do perímetro urbano</v>
      </c>
      <c r="C259" s="158"/>
      <c r="D259" s="158"/>
      <c r="E259" s="158"/>
      <c r="F259" s="158"/>
      <c r="G259" s="158"/>
      <c r="H259" s="158"/>
      <c r="I259" s="158"/>
      <c r="J259" s="158"/>
    </row>
    <row r="260" spans="1:10" s="17" customFormat="1" ht="16.5" customHeight="1" x14ac:dyDescent="0.25">
      <c r="A260" s="157" t="s">
        <v>12</v>
      </c>
      <c r="B260" s="157"/>
      <c r="C260" s="157"/>
      <c r="D260" s="46" t="s">
        <v>13</v>
      </c>
      <c r="E260" s="46" t="s">
        <v>14</v>
      </c>
      <c r="F260" s="46" t="s">
        <v>15</v>
      </c>
      <c r="G260" s="47" t="s">
        <v>119</v>
      </c>
      <c r="H260" s="47" t="s">
        <v>120</v>
      </c>
      <c r="I260" s="47" t="s">
        <v>121</v>
      </c>
      <c r="J260" s="46" t="s">
        <v>19</v>
      </c>
    </row>
    <row r="261" spans="1:10" ht="16.5" customHeight="1" x14ac:dyDescent="0.25">
      <c r="A261" s="156" t="s">
        <v>123</v>
      </c>
      <c r="B261" s="156"/>
      <c r="C261" s="156"/>
      <c r="D261" s="5"/>
      <c r="E261" s="5"/>
      <c r="F261" s="5"/>
      <c r="G261" s="5">
        <f>J258</f>
        <v>1445.19</v>
      </c>
      <c r="H261" s="5">
        <f>4.9+5.2</f>
        <v>10.1</v>
      </c>
      <c r="I261" s="5"/>
      <c r="J261" s="5">
        <f>PRODUCT(D261:I261)</f>
        <v>14596.42</v>
      </c>
    </row>
    <row r="262" spans="1:10" ht="16.5" customHeight="1" x14ac:dyDescent="0.25">
      <c r="A262" s="159" t="str">
        <f>"TOTAL - "&amp;'Plan. Orçamentária'!F48</f>
        <v>TOTAL - M3XKM</v>
      </c>
      <c r="B262" s="159"/>
      <c r="C262" s="159"/>
      <c r="D262" s="159"/>
      <c r="E262" s="159"/>
      <c r="F262" s="159"/>
      <c r="G262" s="159"/>
      <c r="H262" s="159"/>
      <c r="I262" s="159"/>
      <c r="J262" s="41">
        <f>SUM(J261:J261)</f>
        <v>14596.42</v>
      </c>
    </row>
    <row r="263" spans="1:10" ht="25.5" customHeight="1" x14ac:dyDescent="0.25">
      <c r="A263" s="16" t="str">
        <f>'Plan. Orçamentária'!A49</f>
        <v>6.4</v>
      </c>
      <c r="B263" s="158" t="str">
        <f>'Plan. Orçamentária'!D49</f>
        <v>Regularização e compactação de subleito de solo predominantemente argiloso</v>
      </c>
      <c r="C263" s="158"/>
      <c r="D263" s="158"/>
      <c r="E263" s="158"/>
      <c r="F263" s="158"/>
      <c r="G263" s="158"/>
      <c r="H263" s="158"/>
      <c r="I263" s="158"/>
      <c r="J263" s="158"/>
    </row>
    <row r="264" spans="1:10" s="17" customFormat="1" ht="16.5" customHeight="1" x14ac:dyDescent="0.25">
      <c r="A264" s="157" t="s">
        <v>12</v>
      </c>
      <c r="B264" s="157"/>
      <c r="C264" s="157"/>
      <c r="D264" s="46" t="s">
        <v>13</v>
      </c>
      <c r="E264" s="46" t="s">
        <v>14</v>
      </c>
      <c r="F264" s="46" t="s">
        <v>15</v>
      </c>
      <c r="G264" s="46" t="s">
        <v>16</v>
      </c>
      <c r="H264" s="46" t="s">
        <v>18</v>
      </c>
      <c r="I264" s="46" t="s">
        <v>27</v>
      </c>
      <c r="J264" s="46" t="s">
        <v>19</v>
      </c>
    </row>
    <row r="265" spans="1:10" ht="16.5" customHeight="1" x14ac:dyDescent="0.25">
      <c r="A265" s="156" t="s">
        <v>242</v>
      </c>
      <c r="B265" s="156"/>
      <c r="C265" s="156"/>
      <c r="D265" s="5"/>
      <c r="E265" s="5"/>
      <c r="F265" s="5"/>
      <c r="G265" s="5">
        <f>J254</f>
        <v>6021.63</v>
      </c>
      <c r="H265" s="5"/>
      <c r="I265" s="5"/>
      <c r="J265" s="5">
        <f>PRODUCT(D265:H265)-I265</f>
        <v>6021.63</v>
      </c>
    </row>
    <row r="266" spans="1:10" ht="16.5" customHeight="1" x14ac:dyDescent="0.25">
      <c r="A266" s="159" t="str">
        <f>"TOTAL - "&amp;'Plan. Orçamentária'!F49</f>
        <v>TOTAL - M2</v>
      </c>
      <c r="B266" s="159"/>
      <c r="C266" s="159"/>
      <c r="D266" s="159"/>
      <c r="E266" s="159"/>
      <c r="F266" s="159"/>
      <c r="G266" s="159"/>
      <c r="H266" s="159"/>
      <c r="I266" s="159"/>
      <c r="J266" s="41">
        <f>SUM(J265:J265)</f>
        <v>6021.63</v>
      </c>
    </row>
    <row r="267" spans="1:10" ht="16.5" customHeight="1" x14ac:dyDescent="0.25">
      <c r="A267" s="16" t="str">
        <f>'Plan. Orçamentária'!A50</f>
        <v>6.5</v>
      </c>
      <c r="B267" s="158" t="str">
        <f>'Plan. Orçamentária'!D50</f>
        <v>Remoção de meio-fio pré-moldado de concreto, inclusive carga</v>
      </c>
      <c r="C267" s="158"/>
      <c r="D267" s="158"/>
      <c r="E267" s="158"/>
      <c r="F267" s="158"/>
      <c r="G267" s="158"/>
      <c r="H267" s="158"/>
      <c r="I267" s="158"/>
      <c r="J267" s="158"/>
    </row>
    <row r="268" spans="1:10" ht="16.5" customHeight="1" x14ac:dyDescent="0.25">
      <c r="A268" s="157" t="s">
        <v>12</v>
      </c>
      <c r="B268" s="157"/>
      <c r="C268" s="157"/>
      <c r="D268" s="46" t="s">
        <v>13</v>
      </c>
      <c r="E268" s="46" t="s">
        <v>14</v>
      </c>
      <c r="F268" s="46" t="s">
        <v>15</v>
      </c>
      <c r="G268" s="46" t="s">
        <v>16</v>
      </c>
      <c r="H268" s="46" t="s">
        <v>18</v>
      </c>
      <c r="I268" s="46" t="s">
        <v>27</v>
      </c>
      <c r="J268" s="46" t="s">
        <v>19</v>
      </c>
    </row>
    <row r="269" spans="1:10" ht="16.5" customHeight="1" x14ac:dyDescent="0.25">
      <c r="A269" s="217" t="s">
        <v>260</v>
      </c>
      <c r="B269" s="218"/>
      <c r="C269" s="219"/>
      <c r="D269" s="5"/>
      <c r="E269" s="5"/>
      <c r="F269" s="5"/>
      <c r="G269" s="5"/>
      <c r="H269" s="5"/>
      <c r="I269" s="5"/>
      <c r="J269" s="5"/>
    </row>
    <row r="270" spans="1:10" ht="16.5" customHeight="1" x14ac:dyDescent="0.25">
      <c r="A270" s="156" t="s">
        <v>125</v>
      </c>
      <c r="B270" s="156"/>
      <c r="C270" s="156"/>
      <c r="D270" s="5">
        <f>208+105</f>
        <v>313</v>
      </c>
      <c r="E270" s="5"/>
      <c r="F270" s="5"/>
      <c r="G270" s="5"/>
      <c r="H270" s="5"/>
      <c r="I270" s="5"/>
      <c r="J270" s="5">
        <f>PRODUCT(D270:H270)-I270</f>
        <v>313</v>
      </c>
    </row>
    <row r="271" spans="1:10" ht="16.5" customHeight="1" x14ac:dyDescent="0.25">
      <c r="A271" s="193" t="s">
        <v>261</v>
      </c>
      <c r="B271" s="194"/>
      <c r="C271" s="195"/>
      <c r="D271" s="5"/>
      <c r="E271" s="5"/>
      <c r="F271" s="5"/>
      <c r="G271" s="5"/>
      <c r="H271" s="5"/>
      <c r="I271" s="5"/>
      <c r="J271" s="5"/>
    </row>
    <row r="272" spans="1:10" ht="16.5" customHeight="1" x14ac:dyDescent="0.25">
      <c r="A272" s="156" t="s">
        <v>125</v>
      </c>
      <c r="B272" s="156"/>
      <c r="C272" s="156"/>
      <c r="D272" s="5">
        <v>84</v>
      </c>
      <c r="E272" s="5"/>
      <c r="F272" s="5"/>
      <c r="G272" s="5"/>
      <c r="H272" s="5"/>
      <c r="I272" s="5"/>
      <c r="J272" s="5">
        <f>PRODUCT(D272:H272)-I272</f>
        <v>84</v>
      </c>
    </row>
    <row r="273" spans="1:10" ht="16.5" customHeight="1" x14ac:dyDescent="0.25">
      <c r="A273" s="193" t="s">
        <v>263</v>
      </c>
      <c r="B273" s="194"/>
      <c r="C273" s="195"/>
      <c r="D273" s="5"/>
      <c r="E273" s="5"/>
      <c r="F273" s="5"/>
      <c r="G273" s="5"/>
      <c r="H273" s="5"/>
      <c r="I273" s="5"/>
      <c r="J273" s="5"/>
    </row>
    <row r="274" spans="1:10" ht="16.5" customHeight="1" x14ac:dyDescent="0.25">
      <c r="A274" s="156" t="s">
        <v>125</v>
      </c>
      <c r="B274" s="156"/>
      <c r="C274" s="156"/>
      <c r="D274" s="5">
        <v>600</v>
      </c>
      <c r="E274" s="5"/>
      <c r="F274" s="5"/>
      <c r="G274" s="5"/>
      <c r="H274" s="5"/>
      <c r="I274" s="5"/>
      <c r="J274" s="5">
        <f>PRODUCT(D274:H274)-I274</f>
        <v>600</v>
      </c>
    </row>
    <row r="275" spans="1:10" ht="16.5" customHeight="1" x14ac:dyDescent="0.25">
      <c r="A275" s="159" t="str">
        <f>"TOTAL - "&amp;'Plan. Orçamentária'!F50</f>
        <v>TOTAL - M</v>
      </c>
      <c r="B275" s="159"/>
      <c r="C275" s="159"/>
      <c r="D275" s="159"/>
      <c r="E275" s="159"/>
      <c r="F275" s="159"/>
      <c r="G275" s="159"/>
      <c r="H275" s="159"/>
      <c r="I275" s="159"/>
      <c r="J275" s="41">
        <f>SUM(J270:J274)</f>
        <v>997</v>
      </c>
    </row>
    <row r="276" spans="1:10" ht="28.5" customHeight="1" x14ac:dyDescent="0.25">
      <c r="A276" s="16" t="str">
        <f>'Plan. Orçamentária'!A51</f>
        <v>6.6</v>
      </c>
      <c r="B276" s="158" t="str">
        <f>'Plan. Orçamentária'!D51</f>
        <v>Meio-fio em concreto pré-fabricado Fck ≥ 15MPa, dimensões 80x13x10x35 cm (comprimento x face inferior x face superior x altura), para vias urbanas, inclusive escavação e reaterro</v>
      </c>
      <c r="C276" s="158"/>
      <c r="D276" s="158"/>
      <c r="E276" s="158"/>
      <c r="F276" s="158"/>
      <c r="G276" s="158"/>
      <c r="H276" s="158"/>
      <c r="I276" s="158"/>
      <c r="J276" s="158"/>
    </row>
    <row r="277" spans="1:10" ht="16.5" customHeight="1" x14ac:dyDescent="0.25">
      <c r="A277" s="157" t="s">
        <v>12</v>
      </c>
      <c r="B277" s="157"/>
      <c r="C277" s="157"/>
      <c r="D277" s="46" t="s">
        <v>13</v>
      </c>
      <c r="E277" s="46" t="s">
        <v>14</v>
      </c>
      <c r="F277" s="46" t="s">
        <v>15</v>
      </c>
      <c r="G277" s="46" t="s">
        <v>16</v>
      </c>
      <c r="H277" s="46" t="s">
        <v>18</v>
      </c>
      <c r="I277" s="46" t="s">
        <v>27</v>
      </c>
      <c r="J277" s="46" t="s">
        <v>19</v>
      </c>
    </row>
    <row r="278" spans="1:10" ht="16.5" customHeight="1" x14ac:dyDescent="0.25">
      <c r="A278" s="217" t="s">
        <v>260</v>
      </c>
      <c r="B278" s="218"/>
      <c r="C278" s="219"/>
      <c r="D278" s="5"/>
      <c r="E278" s="5"/>
      <c r="F278" s="5"/>
      <c r="G278" s="5"/>
      <c r="H278" s="5"/>
      <c r="I278" s="5"/>
      <c r="J278" s="5"/>
    </row>
    <row r="279" spans="1:10" ht="16.5" customHeight="1" x14ac:dyDescent="0.25">
      <c r="A279" s="156" t="s">
        <v>256</v>
      </c>
      <c r="B279" s="156"/>
      <c r="C279" s="156"/>
      <c r="D279" s="5">
        <v>6.7</v>
      </c>
      <c r="E279" s="5"/>
      <c r="F279" s="5"/>
      <c r="G279" s="5"/>
      <c r="H279" s="5"/>
      <c r="I279" s="5"/>
      <c r="J279" s="5">
        <f>PRODUCT(D279:H279)-I279</f>
        <v>6.7</v>
      </c>
    </row>
    <row r="280" spans="1:10" ht="16.5" customHeight="1" x14ac:dyDescent="0.25">
      <c r="A280" s="156" t="s">
        <v>257</v>
      </c>
      <c r="B280" s="156"/>
      <c r="C280" s="156"/>
      <c r="D280" s="5">
        <v>313</v>
      </c>
      <c r="E280" s="5"/>
      <c r="F280" s="5"/>
      <c r="G280" s="5"/>
      <c r="H280" s="5"/>
      <c r="I280" s="5"/>
      <c r="J280" s="5">
        <f>PRODUCT(D280:H280)-I280</f>
        <v>313</v>
      </c>
    </row>
    <row r="281" spans="1:10" ht="16.5" customHeight="1" x14ac:dyDescent="0.25">
      <c r="A281" s="193" t="s">
        <v>261</v>
      </c>
      <c r="B281" s="194"/>
      <c r="C281" s="195"/>
      <c r="D281" s="5"/>
      <c r="E281" s="5"/>
      <c r="F281" s="5"/>
      <c r="G281" s="5"/>
      <c r="H281" s="5"/>
      <c r="I281" s="5"/>
      <c r="J281" s="5"/>
    </row>
    <row r="282" spans="1:10" ht="16.5" customHeight="1" x14ac:dyDescent="0.25">
      <c r="A282" s="156" t="s">
        <v>301</v>
      </c>
      <c r="B282" s="156"/>
      <c r="C282" s="156"/>
      <c r="D282" s="5">
        <v>84</v>
      </c>
      <c r="E282" s="5"/>
      <c r="F282" s="5"/>
      <c r="G282" s="5"/>
      <c r="H282" s="5"/>
      <c r="I282" s="5"/>
      <c r="J282" s="5">
        <f>PRODUCT(D282:H282)-I282</f>
        <v>84</v>
      </c>
    </row>
    <row r="283" spans="1:10" ht="16.5" customHeight="1" x14ac:dyDescent="0.25">
      <c r="A283" s="182" t="s">
        <v>302</v>
      </c>
      <c r="B283" s="183"/>
      <c r="C283" s="184"/>
      <c r="D283" s="5">
        <v>7.2</v>
      </c>
      <c r="E283" s="5"/>
      <c r="F283" s="5"/>
      <c r="G283" s="5"/>
      <c r="H283" s="5"/>
      <c r="I283" s="5"/>
      <c r="J283" s="5">
        <f t="shared" ref="J283:J285" si="14">PRODUCT(D283:H283)-I283</f>
        <v>7.2</v>
      </c>
    </row>
    <row r="284" spans="1:10" ht="16.5" customHeight="1" x14ac:dyDescent="0.25">
      <c r="A284" s="226"/>
      <c r="B284" s="227"/>
      <c r="C284" s="228"/>
      <c r="D284" s="5">
        <v>7.9</v>
      </c>
      <c r="E284" s="5"/>
      <c r="F284" s="5"/>
      <c r="G284" s="5"/>
      <c r="H284" s="5"/>
      <c r="I284" s="5"/>
      <c r="J284" s="5">
        <f t="shared" si="14"/>
        <v>7.9</v>
      </c>
    </row>
    <row r="285" spans="1:10" ht="16.5" customHeight="1" x14ac:dyDescent="0.25">
      <c r="A285" s="196"/>
      <c r="B285" s="197"/>
      <c r="C285" s="198"/>
      <c r="D285" s="5">
        <v>6.95</v>
      </c>
      <c r="E285" s="5"/>
      <c r="F285" s="5"/>
      <c r="G285" s="5"/>
      <c r="H285" s="5"/>
      <c r="I285" s="5"/>
      <c r="J285" s="5">
        <f t="shared" si="14"/>
        <v>6.95</v>
      </c>
    </row>
    <row r="286" spans="1:10" ht="16.5" customHeight="1" x14ac:dyDescent="0.25">
      <c r="A286" s="193" t="s">
        <v>263</v>
      </c>
      <c r="B286" s="194"/>
      <c r="C286" s="195"/>
      <c r="D286" s="5"/>
      <c r="E286" s="5"/>
      <c r="F286" s="5"/>
      <c r="G286" s="5"/>
      <c r="H286" s="5"/>
      <c r="I286" s="5"/>
      <c r="J286" s="5"/>
    </row>
    <row r="287" spans="1:10" ht="16.5" customHeight="1" x14ac:dyDescent="0.25">
      <c r="A287" s="223" t="s">
        <v>257</v>
      </c>
      <c r="B287" s="224"/>
      <c r="C287" s="225"/>
      <c r="D287" s="128">
        <v>600</v>
      </c>
      <c r="E287" s="5"/>
      <c r="F287" s="5"/>
      <c r="G287" s="5"/>
      <c r="H287" s="5"/>
      <c r="I287" s="5"/>
      <c r="J287" s="5">
        <f>PRODUCT(D287:H287)-I287</f>
        <v>600</v>
      </c>
    </row>
    <row r="288" spans="1:10" ht="16.5" customHeight="1" x14ac:dyDescent="0.25">
      <c r="A288" s="229" t="s">
        <v>303</v>
      </c>
      <c r="B288" s="230"/>
      <c r="C288" s="231"/>
      <c r="D288" s="128">
        <v>7.65</v>
      </c>
      <c r="E288" s="5"/>
      <c r="F288" s="5"/>
      <c r="G288" s="5"/>
      <c r="H288" s="5"/>
      <c r="I288" s="5"/>
      <c r="J288" s="5">
        <f t="shared" ref="J288:J296" si="15">PRODUCT(D288:H288)-I288</f>
        <v>7.65</v>
      </c>
    </row>
    <row r="289" spans="1:10" ht="16.5" customHeight="1" x14ac:dyDescent="0.25">
      <c r="A289" s="232"/>
      <c r="B289" s="233"/>
      <c r="C289" s="234"/>
      <c r="D289" s="128">
        <v>10.5</v>
      </c>
      <c r="E289" s="5"/>
      <c r="F289" s="5"/>
      <c r="G289" s="5"/>
      <c r="H289" s="5"/>
      <c r="I289" s="5"/>
      <c r="J289" s="5">
        <f t="shared" si="15"/>
        <v>10.5</v>
      </c>
    </row>
    <row r="290" spans="1:10" ht="16.5" customHeight="1" x14ac:dyDescent="0.25">
      <c r="A290" s="232"/>
      <c r="B290" s="233"/>
      <c r="C290" s="234"/>
      <c r="D290" s="128">
        <v>10.9</v>
      </c>
      <c r="E290" s="5"/>
      <c r="F290" s="5"/>
      <c r="G290" s="5"/>
      <c r="H290" s="5"/>
      <c r="I290" s="5"/>
      <c r="J290" s="5">
        <f t="shared" si="15"/>
        <v>10.9</v>
      </c>
    </row>
    <row r="291" spans="1:10" ht="16.5" customHeight="1" x14ac:dyDescent="0.25">
      <c r="A291" s="232"/>
      <c r="B291" s="233"/>
      <c r="C291" s="234"/>
      <c r="D291" s="128">
        <v>7.81</v>
      </c>
      <c r="E291" s="5"/>
      <c r="F291" s="5"/>
      <c r="G291" s="5"/>
      <c r="H291" s="5"/>
      <c r="I291" s="5"/>
      <c r="J291" s="5">
        <f t="shared" si="15"/>
        <v>7.81</v>
      </c>
    </row>
    <row r="292" spans="1:10" ht="16.5" customHeight="1" x14ac:dyDescent="0.25">
      <c r="A292" s="232"/>
      <c r="B292" s="233"/>
      <c r="C292" s="234"/>
      <c r="D292" s="128">
        <v>8.17</v>
      </c>
      <c r="E292" s="5"/>
      <c r="F292" s="5"/>
      <c r="G292" s="5"/>
      <c r="H292" s="5"/>
      <c r="I292" s="5"/>
      <c r="J292" s="5">
        <f t="shared" si="15"/>
        <v>8.17</v>
      </c>
    </row>
    <row r="293" spans="1:10" ht="16.5" customHeight="1" x14ac:dyDescent="0.25">
      <c r="A293" s="232"/>
      <c r="B293" s="233"/>
      <c r="C293" s="234"/>
      <c r="D293" s="128">
        <v>7.8</v>
      </c>
      <c r="E293" s="5"/>
      <c r="F293" s="5"/>
      <c r="G293" s="5"/>
      <c r="H293" s="5"/>
      <c r="I293" s="5"/>
      <c r="J293" s="5">
        <f t="shared" si="15"/>
        <v>7.8</v>
      </c>
    </row>
    <row r="294" spans="1:10" ht="16.5" customHeight="1" x14ac:dyDescent="0.25">
      <c r="A294" s="232"/>
      <c r="B294" s="233"/>
      <c r="C294" s="234"/>
      <c r="D294" s="128">
        <v>8</v>
      </c>
      <c r="E294" s="5"/>
      <c r="F294" s="5"/>
      <c r="G294" s="5"/>
      <c r="H294" s="5"/>
      <c r="I294" s="5"/>
      <c r="J294" s="5">
        <f t="shared" si="15"/>
        <v>8</v>
      </c>
    </row>
    <row r="295" spans="1:10" ht="16.5" customHeight="1" x14ac:dyDescent="0.25">
      <c r="A295" s="232"/>
      <c r="B295" s="233"/>
      <c r="C295" s="234"/>
      <c r="D295" s="128">
        <v>6.7</v>
      </c>
      <c r="E295" s="5"/>
      <c r="F295" s="5"/>
      <c r="G295" s="5"/>
      <c r="H295" s="5"/>
      <c r="I295" s="5"/>
      <c r="J295" s="5">
        <f t="shared" si="15"/>
        <v>6.7</v>
      </c>
    </row>
    <row r="296" spans="1:10" ht="16.5" customHeight="1" x14ac:dyDescent="0.25">
      <c r="A296" s="235"/>
      <c r="B296" s="236"/>
      <c r="C296" s="237"/>
      <c r="D296" s="128">
        <v>6.6</v>
      </c>
      <c r="E296" s="5"/>
      <c r="F296" s="5"/>
      <c r="G296" s="5"/>
      <c r="H296" s="5"/>
      <c r="I296" s="5"/>
      <c r="J296" s="5">
        <f t="shared" si="15"/>
        <v>6.6</v>
      </c>
    </row>
    <row r="297" spans="1:10" ht="16.5" customHeight="1" x14ac:dyDescent="0.25">
      <c r="A297" s="159" t="str">
        <f>"TOTAL - "&amp;'Plan. Orçamentária'!F51</f>
        <v>TOTAL - M</v>
      </c>
      <c r="B297" s="159"/>
      <c r="C297" s="159"/>
      <c r="D297" s="159"/>
      <c r="E297" s="159"/>
      <c r="F297" s="159"/>
      <c r="G297" s="159"/>
      <c r="H297" s="159"/>
      <c r="I297" s="159"/>
      <c r="J297" s="41">
        <f>SUM(J279:J296)</f>
        <v>1099.8800000000001</v>
      </c>
    </row>
    <row r="298" spans="1:10" ht="27.75" customHeight="1" x14ac:dyDescent="0.25">
      <c r="A298" s="16" t="str">
        <f>'Plan. Orçamentária'!A52</f>
        <v>6.7</v>
      </c>
      <c r="B298" s="158" t="str">
        <f>'Plan. Orçamentária'!D52</f>
        <v>Pavimentação de via em piso de concreto pré-moldado intertravado sobre camada de assentamento em pó de pedra, espessura de 6 cm, incluindo fornecimento e transporte de todos os materiais</v>
      </c>
      <c r="C298" s="158"/>
      <c r="D298" s="158"/>
      <c r="E298" s="158"/>
      <c r="F298" s="158"/>
      <c r="G298" s="158"/>
      <c r="H298" s="158"/>
      <c r="I298" s="158"/>
      <c r="J298" s="158"/>
    </row>
    <row r="299" spans="1:10" ht="16.5" customHeight="1" x14ac:dyDescent="0.25">
      <c r="A299" s="157" t="s">
        <v>12</v>
      </c>
      <c r="B299" s="157"/>
      <c r="C299" s="157"/>
      <c r="D299" s="46" t="s">
        <v>13</v>
      </c>
      <c r="E299" s="46" t="s">
        <v>14</v>
      </c>
      <c r="F299" s="46" t="s">
        <v>15</v>
      </c>
      <c r="G299" s="46" t="s">
        <v>16</v>
      </c>
      <c r="H299" s="46" t="s">
        <v>18</v>
      </c>
      <c r="I299" s="46" t="s">
        <v>27</v>
      </c>
      <c r="J299" s="46" t="s">
        <v>19</v>
      </c>
    </row>
    <row r="300" spans="1:10" ht="16.5" customHeight="1" x14ac:dyDescent="0.25">
      <c r="A300" s="217" t="s">
        <v>260</v>
      </c>
      <c r="B300" s="218"/>
      <c r="C300" s="219"/>
      <c r="D300" s="5"/>
      <c r="E300" s="5"/>
      <c r="F300" s="5"/>
      <c r="G300" s="5"/>
      <c r="H300" s="5"/>
      <c r="I300" s="5"/>
      <c r="J300" s="5"/>
    </row>
    <row r="301" spans="1:10" ht="16.5" customHeight="1" x14ac:dyDescent="0.25">
      <c r="A301" s="156" t="s">
        <v>182</v>
      </c>
      <c r="B301" s="156"/>
      <c r="C301" s="156"/>
      <c r="D301" s="5"/>
      <c r="E301" s="5"/>
      <c r="F301" s="5"/>
      <c r="G301" s="5"/>
      <c r="H301" s="5">
        <v>1657.89</v>
      </c>
      <c r="I301" s="5"/>
      <c r="J301" s="5">
        <f>PRODUCT(D301:H301)-I301</f>
        <v>1657.89</v>
      </c>
    </row>
    <row r="302" spans="1:10" ht="16.5" customHeight="1" x14ac:dyDescent="0.25">
      <c r="A302" s="156" t="s">
        <v>181</v>
      </c>
      <c r="B302" s="156"/>
      <c r="C302" s="156"/>
      <c r="D302" s="5"/>
      <c r="E302" s="5"/>
      <c r="F302" s="5"/>
      <c r="G302" s="5"/>
      <c r="H302" s="5">
        <v>499.36</v>
      </c>
      <c r="I302" s="5"/>
      <c r="J302" s="5">
        <f>PRODUCT(D302:H302)-I302</f>
        <v>499.36</v>
      </c>
    </row>
    <row r="303" spans="1:10" ht="16.5" customHeight="1" x14ac:dyDescent="0.25">
      <c r="A303" s="193" t="s">
        <v>261</v>
      </c>
      <c r="B303" s="194"/>
      <c r="C303" s="195"/>
      <c r="D303" s="5"/>
      <c r="E303" s="5"/>
      <c r="F303" s="5"/>
      <c r="G303" s="5"/>
      <c r="H303" s="5"/>
      <c r="I303" s="5"/>
      <c r="J303" s="5"/>
    </row>
    <row r="304" spans="1:10" ht="16.5" customHeight="1" x14ac:dyDescent="0.25">
      <c r="A304" s="156" t="s">
        <v>299</v>
      </c>
      <c r="B304" s="156"/>
      <c r="C304" s="156"/>
      <c r="D304" s="5"/>
      <c r="E304" s="5"/>
      <c r="F304" s="5"/>
      <c r="G304" s="5"/>
      <c r="H304" s="5">
        <v>408.47</v>
      </c>
      <c r="I304" s="5"/>
      <c r="J304" s="5">
        <f>PRODUCT(D304:H304)-I304</f>
        <v>408.47</v>
      </c>
    </row>
    <row r="305" spans="1:10" ht="16.5" customHeight="1" x14ac:dyDescent="0.25">
      <c r="A305" s="156" t="s">
        <v>300</v>
      </c>
      <c r="B305" s="156"/>
      <c r="C305" s="156"/>
      <c r="D305" s="5"/>
      <c r="E305" s="5"/>
      <c r="F305" s="5"/>
      <c r="G305" s="5"/>
      <c r="H305" s="5">
        <v>423.62</v>
      </c>
      <c r="I305" s="5"/>
      <c r="J305" s="5">
        <f>PRODUCT(D305:H305)-I305</f>
        <v>423.62</v>
      </c>
    </row>
    <row r="306" spans="1:10" ht="16.5" customHeight="1" x14ac:dyDescent="0.25">
      <c r="A306" s="193" t="s">
        <v>263</v>
      </c>
      <c r="B306" s="194"/>
      <c r="C306" s="195"/>
      <c r="D306" s="5"/>
      <c r="E306" s="5"/>
      <c r="F306" s="5"/>
      <c r="G306" s="5"/>
      <c r="H306" s="5"/>
      <c r="I306" s="5"/>
      <c r="J306" s="5"/>
    </row>
    <row r="307" spans="1:10" ht="16.5" customHeight="1" x14ac:dyDescent="0.25">
      <c r="A307" s="172" t="s">
        <v>49</v>
      </c>
      <c r="B307" s="173"/>
      <c r="C307" s="174"/>
      <c r="D307" s="5"/>
      <c r="E307" s="5"/>
      <c r="F307" s="5"/>
      <c r="G307" s="5"/>
      <c r="H307" s="5">
        <v>3032.29</v>
      </c>
      <c r="I307" s="5"/>
      <c r="J307" s="5">
        <f>PRODUCT(D307:H307)-I307</f>
        <v>3032.29</v>
      </c>
    </row>
    <row r="308" spans="1:10" ht="16.5" customHeight="1" x14ac:dyDescent="0.25">
      <c r="A308" s="159" t="str">
        <f>"TOTAL - "&amp;'Plan. Orçamentária'!F52</f>
        <v>TOTAL - M2</v>
      </c>
      <c r="B308" s="159"/>
      <c r="C308" s="159"/>
      <c r="D308" s="159"/>
      <c r="E308" s="159"/>
      <c r="F308" s="159"/>
      <c r="G308" s="159"/>
      <c r="H308" s="159"/>
      <c r="I308" s="159"/>
      <c r="J308" s="41">
        <f>SUM(J301:J307)</f>
        <v>6021.63</v>
      </c>
    </row>
    <row r="309" spans="1:10" ht="16.5" customHeight="1" x14ac:dyDescent="0.25">
      <c r="A309" s="16" t="str">
        <f>'Plan. Orçamentária'!A53</f>
        <v>6.8</v>
      </c>
      <c r="B309" s="158" t="str">
        <f>'Plan. Orçamentária'!D53</f>
        <v>Sarjeta em concreto usinado, Fck ≥ 35 MPa, 30cm de base x 10cm de altura, incluindo formas e compactação do terreno</v>
      </c>
      <c r="C309" s="158"/>
      <c r="D309" s="158"/>
      <c r="E309" s="158"/>
      <c r="F309" s="158"/>
      <c r="G309" s="158"/>
      <c r="H309" s="158"/>
      <c r="I309" s="158"/>
      <c r="J309" s="158"/>
    </row>
    <row r="310" spans="1:10" ht="16.5" customHeight="1" x14ac:dyDescent="0.25">
      <c r="A310" s="157" t="s">
        <v>12</v>
      </c>
      <c r="B310" s="157"/>
      <c r="C310" s="157"/>
      <c r="D310" s="46" t="s">
        <v>13</v>
      </c>
      <c r="E310" s="46" t="s">
        <v>14</v>
      </c>
      <c r="F310" s="46" t="s">
        <v>15</v>
      </c>
      <c r="G310" s="46" t="s">
        <v>16</v>
      </c>
      <c r="H310" s="46" t="s">
        <v>18</v>
      </c>
      <c r="I310" s="46" t="s">
        <v>27</v>
      </c>
      <c r="J310" s="46" t="s">
        <v>19</v>
      </c>
    </row>
    <row r="311" spans="1:10" ht="16.5" customHeight="1" x14ac:dyDescent="0.25">
      <c r="A311" s="217" t="s">
        <v>260</v>
      </c>
      <c r="B311" s="218"/>
      <c r="C311" s="219"/>
      <c r="D311" s="5"/>
      <c r="E311" s="5"/>
      <c r="F311" s="5"/>
      <c r="G311" s="5"/>
      <c r="H311" s="5"/>
      <c r="I311" s="5"/>
      <c r="J311" s="5"/>
    </row>
    <row r="312" spans="1:10" ht="16.5" customHeight="1" x14ac:dyDescent="0.25">
      <c r="A312" s="156" t="s">
        <v>182</v>
      </c>
      <c r="B312" s="156"/>
      <c r="C312" s="156"/>
      <c r="D312" s="5">
        <v>496.63</v>
      </c>
      <c r="E312" s="5"/>
      <c r="F312" s="5"/>
      <c r="G312" s="5"/>
      <c r="H312" s="5"/>
      <c r="I312" s="5"/>
      <c r="J312" s="5">
        <f>PRODUCT(D312:H312)-I312</f>
        <v>496.63</v>
      </c>
    </row>
    <row r="313" spans="1:10" ht="16.5" customHeight="1" x14ac:dyDescent="0.25">
      <c r="A313" s="156" t="s">
        <v>181</v>
      </c>
      <c r="B313" s="156"/>
      <c r="C313" s="156"/>
      <c r="D313" s="5">
        <v>143.02000000000001</v>
      </c>
      <c r="E313" s="5"/>
      <c r="F313" s="5"/>
      <c r="G313" s="5"/>
      <c r="H313" s="5"/>
      <c r="I313" s="5"/>
      <c r="J313" s="5">
        <f>PRODUCT(D313:H313)-I313</f>
        <v>143.02000000000001</v>
      </c>
    </row>
    <row r="314" spans="1:10" ht="16.5" customHeight="1" x14ac:dyDescent="0.25">
      <c r="A314" s="193" t="s">
        <v>261</v>
      </c>
      <c r="B314" s="194"/>
      <c r="C314" s="195"/>
      <c r="D314" s="5"/>
      <c r="E314" s="5"/>
      <c r="F314" s="5"/>
      <c r="G314" s="5"/>
      <c r="H314" s="5"/>
      <c r="I314" s="5"/>
      <c r="J314" s="5"/>
    </row>
    <row r="315" spans="1:10" ht="16.5" customHeight="1" x14ac:dyDescent="0.25">
      <c r="A315" s="156" t="s">
        <v>299</v>
      </c>
      <c r="B315" s="156"/>
      <c r="C315" s="156"/>
      <c r="D315" s="5">
        <v>124.55</v>
      </c>
      <c r="E315" s="5"/>
      <c r="F315" s="5"/>
      <c r="G315" s="5"/>
      <c r="H315" s="5"/>
      <c r="I315" s="5"/>
      <c r="J315" s="5">
        <f>PRODUCT(D315:H315)-I315</f>
        <v>124.55</v>
      </c>
    </row>
    <row r="316" spans="1:10" ht="16.5" customHeight="1" x14ac:dyDescent="0.25">
      <c r="A316" s="156" t="s">
        <v>300</v>
      </c>
      <c r="B316" s="156"/>
      <c r="C316" s="156"/>
      <c r="D316" s="5">
        <v>129.05000000000001</v>
      </c>
      <c r="E316" s="5"/>
      <c r="F316" s="5"/>
      <c r="G316" s="5"/>
      <c r="H316" s="5"/>
      <c r="I316" s="5"/>
      <c r="J316" s="5">
        <f>PRODUCT(D316:H316)-I316</f>
        <v>129.05000000000001</v>
      </c>
    </row>
    <row r="317" spans="1:10" ht="16.5" customHeight="1" x14ac:dyDescent="0.25">
      <c r="A317" s="193" t="s">
        <v>263</v>
      </c>
      <c r="B317" s="194"/>
      <c r="C317" s="195"/>
      <c r="D317" s="5"/>
      <c r="E317" s="5"/>
      <c r="F317" s="5"/>
      <c r="G317" s="5"/>
      <c r="H317" s="5"/>
      <c r="I317" s="5"/>
      <c r="J317" s="5"/>
    </row>
    <row r="318" spans="1:10" ht="16.5" customHeight="1" x14ac:dyDescent="0.25">
      <c r="A318" s="172" t="s">
        <v>304</v>
      </c>
      <c r="B318" s="173"/>
      <c r="C318" s="174"/>
      <c r="D318" s="5">
        <v>768.7</v>
      </c>
      <c r="E318" s="5"/>
      <c r="F318" s="5"/>
      <c r="G318" s="5"/>
      <c r="H318" s="5"/>
      <c r="I318" s="5"/>
      <c r="J318" s="5">
        <f>PRODUCT(D318:H318)-I318</f>
        <v>768.7</v>
      </c>
    </row>
    <row r="319" spans="1:10" ht="16.5" customHeight="1" x14ac:dyDescent="0.25">
      <c r="A319" s="159" t="str">
        <f>"TOTAL - "&amp;'Plan. Orçamentária'!F53</f>
        <v>TOTAL - M</v>
      </c>
      <c r="B319" s="159"/>
      <c r="C319" s="159"/>
      <c r="D319" s="159"/>
      <c r="E319" s="159"/>
      <c r="F319" s="159"/>
      <c r="G319" s="159"/>
      <c r="H319" s="159"/>
      <c r="I319" s="159"/>
      <c r="J319" s="41">
        <f>SUM(J311:J318)</f>
        <v>1661.95</v>
      </c>
    </row>
  </sheetData>
  <mergeCells count="317">
    <mergeCell ref="A307:C307"/>
    <mergeCell ref="A311:C311"/>
    <mergeCell ref="A314:C314"/>
    <mergeCell ref="A317:C317"/>
    <mergeCell ref="A318:C318"/>
    <mergeCell ref="A315:C315"/>
    <mergeCell ref="A316:C316"/>
    <mergeCell ref="A283:C285"/>
    <mergeCell ref="A288:C296"/>
    <mergeCell ref="A300:C300"/>
    <mergeCell ref="A302:C302"/>
    <mergeCell ref="A303:C303"/>
    <mergeCell ref="A304:C304"/>
    <mergeCell ref="A305:C305"/>
    <mergeCell ref="A306:C306"/>
    <mergeCell ref="A313:C313"/>
    <mergeCell ref="A301:C301"/>
    <mergeCell ref="A312:C312"/>
    <mergeCell ref="A299:C299"/>
    <mergeCell ref="A308:I308"/>
    <mergeCell ref="B309:J309"/>
    <mergeCell ref="A310:C310"/>
    <mergeCell ref="A297:I297"/>
    <mergeCell ref="B298:J298"/>
    <mergeCell ref="A278:C278"/>
    <mergeCell ref="A281:C281"/>
    <mergeCell ref="A286:C286"/>
    <mergeCell ref="A282:C282"/>
    <mergeCell ref="A287:C287"/>
    <mergeCell ref="A250:C250"/>
    <mergeCell ref="A251:C251"/>
    <mergeCell ref="A252:C252"/>
    <mergeCell ref="A253:C253"/>
    <mergeCell ref="A269:C269"/>
    <mergeCell ref="A271:C271"/>
    <mergeCell ref="A273:C273"/>
    <mergeCell ref="A272:C272"/>
    <mergeCell ref="A274:C274"/>
    <mergeCell ref="B255:J255"/>
    <mergeCell ref="A270:C270"/>
    <mergeCell ref="A275:I275"/>
    <mergeCell ref="A256:C256"/>
    <mergeCell ref="A264:C264"/>
    <mergeCell ref="B259:J259"/>
    <mergeCell ref="A260:C260"/>
    <mergeCell ref="A279:C279"/>
    <mergeCell ref="A257:C257"/>
    <mergeCell ref="A258:I258"/>
    <mergeCell ref="A235:C235"/>
    <mergeCell ref="A238:C238"/>
    <mergeCell ref="A240:C240"/>
    <mergeCell ref="A239:C239"/>
    <mergeCell ref="A241:C241"/>
    <mergeCell ref="A246:C246"/>
    <mergeCell ref="A249:C249"/>
    <mergeCell ref="A222:C222"/>
    <mergeCell ref="A226:C226"/>
    <mergeCell ref="A231:C231"/>
    <mergeCell ref="A230:C230"/>
    <mergeCell ref="A248:C248"/>
    <mergeCell ref="A247:C247"/>
    <mergeCell ref="A223:I223"/>
    <mergeCell ref="B215:J215"/>
    <mergeCell ref="A216:C216"/>
    <mergeCell ref="A217:C217"/>
    <mergeCell ref="A218:I218"/>
    <mergeCell ref="G197:G205"/>
    <mergeCell ref="H197:H205"/>
    <mergeCell ref="I197:I205"/>
    <mergeCell ref="J197:J205"/>
    <mergeCell ref="A207:C207"/>
    <mergeCell ref="G207:G213"/>
    <mergeCell ref="A208:C208"/>
    <mergeCell ref="A209:C209"/>
    <mergeCell ref="A210:C210"/>
    <mergeCell ref="A211:C211"/>
    <mergeCell ref="A212:C212"/>
    <mergeCell ref="A213:E213"/>
    <mergeCell ref="H207:H213"/>
    <mergeCell ref="I207:I213"/>
    <mergeCell ref="J207:J213"/>
    <mergeCell ref="A203:C203"/>
    <mergeCell ref="A204:C204"/>
    <mergeCell ref="A197:C198"/>
    <mergeCell ref="A199:C200"/>
    <mergeCell ref="A201:C202"/>
    <mergeCell ref="A205:E205"/>
    <mergeCell ref="A165:C166"/>
    <mergeCell ref="A167:C168"/>
    <mergeCell ref="A169:C170"/>
    <mergeCell ref="A171:C171"/>
    <mergeCell ref="A172:C172"/>
    <mergeCell ref="A186:C186"/>
    <mergeCell ref="A194:C194"/>
    <mergeCell ref="A195:C195"/>
    <mergeCell ref="A196:C196"/>
    <mergeCell ref="B174:J174"/>
    <mergeCell ref="A175:C175"/>
    <mergeCell ref="A176:C176"/>
    <mergeCell ref="A177:C177"/>
    <mergeCell ref="A178:C178"/>
    <mergeCell ref="A179:C179"/>
    <mergeCell ref="A180:C180"/>
    <mergeCell ref="A181:C181"/>
    <mergeCell ref="A182:I182"/>
    <mergeCell ref="A152:I152"/>
    <mergeCell ref="A146:C146"/>
    <mergeCell ref="A147:C147"/>
    <mergeCell ref="A148:C148"/>
    <mergeCell ref="A149:C149"/>
    <mergeCell ref="A155:C155"/>
    <mergeCell ref="A162:C162"/>
    <mergeCell ref="A163:C163"/>
    <mergeCell ref="A164:C164"/>
    <mergeCell ref="A138:C138"/>
    <mergeCell ref="A139:C139"/>
    <mergeCell ref="A140:C140"/>
    <mergeCell ref="A141:C141"/>
    <mergeCell ref="B143:J143"/>
    <mergeCell ref="A144:C144"/>
    <mergeCell ref="A145:C145"/>
    <mergeCell ref="A150:C150"/>
    <mergeCell ref="A151:C151"/>
    <mergeCell ref="A84:I84"/>
    <mergeCell ref="A118:C118"/>
    <mergeCell ref="A125:C125"/>
    <mergeCell ref="A126:C126"/>
    <mergeCell ref="A127:C127"/>
    <mergeCell ref="A128:C129"/>
    <mergeCell ref="A130:C131"/>
    <mergeCell ref="A132:C133"/>
    <mergeCell ref="A115:I115"/>
    <mergeCell ref="A109:C109"/>
    <mergeCell ref="A110:C110"/>
    <mergeCell ref="A111:C111"/>
    <mergeCell ref="A112:C112"/>
    <mergeCell ref="A113:C113"/>
    <mergeCell ref="A114:C114"/>
    <mergeCell ref="A103:C103"/>
    <mergeCell ref="A104:C104"/>
    <mergeCell ref="D13:E13"/>
    <mergeCell ref="F13:G13"/>
    <mergeCell ref="A57:I57"/>
    <mergeCell ref="A13:C13"/>
    <mergeCell ref="B32:J32"/>
    <mergeCell ref="A62:C62"/>
    <mergeCell ref="A87:C87"/>
    <mergeCell ref="A94:C94"/>
    <mergeCell ref="A95:C95"/>
    <mergeCell ref="B19:J19"/>
    <mergeCell ref="B24:J24"/>
    <mergeCell ref="A22:C22"/>
    <mergeCell ref="A17:C17"/>
    <mergeCell ref="B20:J20"/>
    <mergeCell ref="A21:C21"/>
    <mergeCell ref="A23:I23"/>
    <mergeCell ref="B73:J73"/>
    <mergeCell ref="A74:C74"/>
    <mergeCell ref="A75:C75"/>
    <mergeCell ref="A76:C76"/>
    <mergeCell ref="A77:C77"/>
    <mergeCell ref="A80:C80"/>
    <mergeCell ref="A81:C81"/>
    <mergeCell ref="A82:C82"/>
    <mergeCell ref="A319:I319"/>
    <mergeCell ref="A25:C25"/>
    <mergeCell ref="A26:C26"/>
    <mergeCell ref="A261:C261"/>
    <mergeCell ref="A262:I262"/>
    <mergeCell ref="A31:I31"/>
    <mergeCell ref="B41:J41"/>
    <mergeCell ref="B58:J58"/>
    <mergeCell ref="B72:J72"/>
    <mergeCell ref="B243:J243"/>
    <mergeCell ref="B42:J42"/>
    <mergeCell ref="B46:J46"/>
    <mergeCell ref="B50:J50"/>
    <mergeCell ref="B54:J54"/>
    <mergeCell ref="A67:C67"/>
    <mergeCell ref="A66:C66"/>
    <mergeCell ref="A27:I27"/>
    <mergeCell ref="B28:J28"/>
    <mergeCell ref="A29:C29"/>
    <mergeCell ref="A30:C30"/>
    <mergeCell ref="A53:I53"/>
    <mergeCell ref="A120:C120"/>
    <mergeCell ref="A121:C121"/>
    <mergeCell ref="A122:C122"/>
    <mergeCell ref="B9:J9"/>
    <mergeCell ref="B14:J14"/>
    <mergeCell ref="A18:I18"/>
    <mergeCell ref="A15:C15"/>
    <mergeCell ref="A16:C16"/>
    <mergeCell ref="A55:C55"/>
    <mergeCell ref="A61:C61"/>
    <mergeCell ref="B64:J64"/>
    <mergeCell ref="A49:I49"/>
    <mergeCell ref="A51:C51"/>
    <mergeCell ref="A52:C52"/>
    <mergeCell ref="F10:G12"/>
    <mergeCell ref="H13:J13"/>
    <mergeCell ref="H10:J12"/>
    <mergeCell ref="A10:C12"/>
    <mergeCell ref="D10:E12"/>
    <mergeCell ref="A43:C43"/>
    <mergeCell ref="A44:C44"/>
    <mergeCell ref="A45:I45"/>
    <mergeCell ref="A47:C47"/>
    <mergeCell ref="A48:C48"/>
    <mergeCell ref="A60:C60"/>
    <mergeCell ref="A63:I63"/>
    <mergeCell ref="B59:J59"/>
    <mergeCell ref="A1:J3"/>
    <mergeCell ref="A4:J4"/>
    <mergeCell ref="A5:J5"/>
    <mergeCell ref="A6:A7"/>
    <mergeCell ref="B6:G7"/>
    <mergeCell ref="H6:H7"/>
    <mergeCell ref="I6:I7"/>
    <mergeCell ref="J6:J7"/>
    <mergeCell ref="A8:J8"/>
    <mergeCell ref="A265:C265"/>
    <mergeCell ref="A266:I266"/>
    <mergeCell ref="A280:C280"/>
    <mergeCell ref="A33:C33"/>
    <mergeCell ref="A34:C34"/>
    <mergeCell ref="A35:I35"/>
    <mergeCell ref="B36:J36"/>
    <mergeCell ref="A37:C37"/>
    <mergeCell ref="A38:C38"/>
    <mergeCell ref="A39:C39"/>
    <mergeCell ref="A214:I214"/>
    <mergeCell ref="B183:J183"/>
    <mergeCell ref="A65:C65"/>
    <mergeCell ref="A96:C96"/>
    <mergeCell ref="A97:C98"/>
    <mergeCell ref="A99:C100"/>
    <mergeCell ref="A101:C102"/>
    <mergeCell ref="A189:C189"/>
    <mergeCell ref="A190:C190"/>
    <mergeCell ref="B153:J153"/>
    <mergeCell ref="A192:C192"/>
    <mergeCell ref="B106:J106"/>
    <mergeCell ref="A107:C107"/>
    <mergeCell ref="A108:C108"/>
    <mergeCell ref="A83:C83"/>
    <mergeCell ref="A119:C119"/>
    <mergeCell ref="A156:C156"/>
    <mergeCell ref="A157:C157"/>
    <mergeCell ref="A158:C158"/>
    <mergeCell ref="A159:C159"/>
    <mergeCell ref="A40:I40"/>
    <mergeCell ref="A92:C92"/>
    <mergeCell ref="A69:C69"/>
    <mergeCell ref="B116:J116"/>
    <mergeCell ref="A117:C117"/>
    <mergeCell ref="A71:I71"/>
    <mergeCell ref="A70:C70"/>
    <mergeCell ref="A68:C68"/>
    <mergeCell ref="B85:J85"/>
    <mergeCell ref="A88:C88"/>
    <mergeCell ref="A89:C89"/>
    <mergeCell ref="A90:C90"/>
    <mergeCell ref="A91:C91"/>
    <mergeCell ref="A105:I105"/>
    <mergeCell ref="A86:C86"/>
    <mergeCell ref="A93:C93"/>
    <mergeCell ref="A56:C56"/>
    <mergeCell ref="A78:I78"/>
    <mergeCell ref="B79:J79"/>
    <mergeCell ref="A123:C123"/>
    <mergeCell ref="A124:C124"/>
    <mergeCell ref="A191:C191"/>
    <mergeCell ref="B219:J219"/>
    <mergeCell ref="A220:C220"/>
    <mergeCell ref="A221:C221"/>
    <mergeCell ref="A173:I173"/>
    <mergeCell ref="J187:J193"/>
    <mergeCell ref="J184:J185"/>
    <mergeCell ref="A184:C185"/>
    <mergeCell ref="H184:H185"/>
    <mergeCell ref="H187:H193"/>
    <mergeCell ref="D184:F184"/>
    <mergeCell ref="G184:G185"/>
    <mergeCell ref="G187:G193"/>
    <mergeCell ref="A142:I142"/>
    <mergeCell ref="A187:C187"/>
    <mergeCell ref="A188:C188"/>
    <mergeCell ref="A160:C160"/>
    <mergeCell ref="A161:C161"/>
    <mergeCell ref="A134:C134"/>
    <mergeCell ref="A135:C135"/>
    <mergeCell ref="A136:C136"/>
    <mergeCell ref="A137:C137"/>
    <mergeCell ref="A277:C277"/>
    <mergeCell ref="B263:J263"/>
    <mergeCell ref="B244:J244"/>
    <mergeCell ref="A254:I254"/>
    <mergeCell ref="A245:C245"/>
    <mergeCell ref="I184:I185"/>
    <mergeCell ref="I187:I193"/>
    <mergeCell ref="A193:E193"/>
    <mergeCell ref="A154:C154"/>
    <mergeCell ref="B267:J267"/>
    <mergeCell ref="A268:C268"/>
    <mergeCell ref="B276:J276"/>
    <mergeCell ref="A234:C234"/>
    <mergeCell ref="A236:C236"/>
    <mergeCell ref="A242:I242"/>
    <mergeCell ref="A228:C228"/>
    <mergeCell ref="A229:C229"/>
    <mergeCell ref="A237:C237"/>
    <mergeCell ref="B233:J233"/>
    <mergeCell ref="B224:J224"/>
    <mergeCell ref="A225:C225"/>
    <mergeCell ref="A227:C227"/>
    <mergeCell ref="A232:I232"/>
  </mergeCells>
  <pageMargins left="0.39370078740157483" right="0.39370078740157483" top="0.39370078740157483" bottom="0.78740157480314965" header="0.31496062992125984" footer="0.31496062992125984"/>
  <pageSetup paperSize="9" scale="58" fitToHeight="0" orientation="portrait" verticalDpi="4294967295" r:id="rId1"/>
  <headerFooter>
    <oddFooter>Página &amp;P de &amp;N</oddFooter>
  </headerFooter>
  <rowBreaks count="4" manualBreakCount="4">
    <brk id="71" max="9" man="1"/>
    <brk id="142" max="9" man="1"/>
    <brk id="214" max="9" man="1"/>
    <brk id="280"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view="pageBreakPreview" zoomScaleNormal="100" zoomScaleSheetLayoutView="100" workbookViewId="0">
      <selection activeCell="E36" sqref="E36"/>
    </sheetView>
  </sheetViews>
  <sheetFormatPr defaultRowHeight="16.5" customHeight="1" x14ac:dyDescent="0.25"/>
  <cols>
    <col min="1" max="1" width="13.140625" style="12" customWidth="1"/>
    <col min="2" max="3" width="13.7109375" style="12" customWidth="1"/>
    <col min="4" max="4" width="14.85546875" style="12" customWidth="1"/>
    <col min="5" max="5" width="91.28515625" style="12" customWidth="1"/>
    <col min="6" max="6" width="15" style="12" customWidth="1"/>
    <col min="7" max="7" width="12.28515625" style="12" customWidth="1"/>
    <col min="8" max="8" width="12.140625" style="12" customWidth="1"/>
    <col min="9" max="9" width="13" style="12" customWidth="1"/>
    <col min="10" max="16384" width="9.140625" style="12"/>
  </cols>
  <sheetData>
    <row r="1" spans="1:17" s="9" customFormat="1" ht="16.5" customHeight="1" x14ac:dyDescent="0.2">
      <c r="A1" s="244" t="s">
        <v>25</v>
      </c>
      <c r="B1" s="244"/>
      <c r="C1" s="244"/>
      <c r="D1" s="244"/>
      <c r="E1" s="244"/>
      <c r="F1" s="244"/>
      <c r="G1" s="244"/>
      <c r="H1" s="244"/>
      <c r="I1" s="244"/>
      <c r="Q1" s="9">
        <v>1</v>
      </c>
    </row>
    <row r="2" spans="1:17" s="9" customFormat="1" ht="11.25" customHeight="1" x14ac:dyDescent="0.2">
      <c r="A2" s="244"/>
      <c r="B2" s="244"/>
      <c r="C2" s="244"/>
      <c r="D2" s="244"/>
      <c r="E2" s="244"/>
      <c r="F2" s="244"/>
      <c r="G2" s="244"/>
      <c r="H2" s="244"/>
      <c r="I2" s="244"/>
      <c r="Q2" s="9">
        <v>2</v>
      </c>
    </row>
    <row r="3" spans="1:17" s="9" customFormat="1" ht="12.75" customHeight="1" x14ac:dyDescent="0.2">
      <c r="A3" s="244"/>
      <c r="B3" s="244"/>
      <c r="C3" s="244"/>
      <c r="D3" s="244"/>
      <c r="E3" s="244"/>
      <c r="F3" s="244"/>
      <c r="G3" s="244"/>
      <c r="H3" s="244"/>
      <c r="I3" s="244"/>
      <c r="Q3" s="9">
        <v>3</v>
      </c>
    </row>
    <row r="4" spans="1:17" s="9" customFormat="1" ht="16.5" customHeight="1" x14ac:dyDescent="0.2">
      <c r="A4" s="243" t="str">
        <f>'Plan. Orçamentária'!A4:I4</f>
        <v>OBRA POR EXECUÇÃO INDIRETA</v>
      </c>
      <c r="B4" s="243"/>
      <c r="C4" s="243"/>
      <c r="D4" s="243"/>
      <c r="E4" s="243"/>
      <c r="F4" s="243"/>
      <c r="G4" s="243"/>
      <c r="H4" s="243"/>
      <c r="I4" s="243"/>
      <c r="Q4" s="9">
        <v>4</v>
      </c>
    </row>
    <row r="5" spans="1:17" s="9" customFormat="1" ht="16.5" customHeight="1" x14ac:dyDescent="0.2">
      <c r="A5" s="245" t="str">
        <f>'Plan. Orçamentária'!A5:I5</f>
        <v>Setor requisitante: Secretaria Municipal de Obras e Serviços Urbanos</v>
      </c>
      <c r="B5" s="245"/>
      <c r="C5" s="245"/>
      <c r="D5" s="245"/>
      <c r="E5" s="245"/>
      <c r="F5" s="245"/>
      <c r="G5" s="245"/>
      <c r="H5" s="245"/>
      <c r="I5" s="245"/>
      <c r="Q5" s="9">
        <v>5</v>
      </c>
    </row>
    <row r="6" spans="1:17" s="9" customFormat="1" ht="16.5" customHeight="1" x14ac:dyDescent="0.2">
      <c r="A6" s="245" t="str">
        <f>'Plan. Orçamentária'!A6:B7</f>
        <v>Objeto:</v>
      </c>
      <c r="B6" s="248" t="str">
        <f>'Plan. Orçamentária'!C6</f>
        <v>LOTE 02 - Pavimentação de via em piso de concreto pré-moldado intertravado, tipo Sextavado - Rua Custódio Costa Lage, Rua Gabriel Martins Quintão e Avenida Nuno Lage, bairro Santa Maria - Nova Era/MG</v>
      </c>
      <c r="C6" s="248"/>
      <c r="D6" s="248"/>
      <c r="E6" s="248"/>
      <c r="F6" s="248"/>
      <c r="G6" s="246" t="str">
        <f>'Plan. Orçamentária'!G6:G7</f>
        <v>BDI:</v>
      </c>
      <c r="H6" s="247">
        <f>'Plan. Orçamentária'!H6:H7</f>
        <v>0.30380000000000001</v>
      </c>
      <c r="I6" s="246">
        <f ca="1">'Plan. Orçamentária'!I6:I7</f>
        <v>44887</v>
      </c>
      <c r="Q6" s="9">
        <v>6</v>
      </c>
    </row>
    <row r="7" spans="1:17" s="9" customFormat="1" ht="16.5" customHeight="1" x14ac:dyDescent="0.2">
      <c r="A7" s="245"/>
      <c r="B7" s="248"/>
      <c r="C7" s="248"/>
      <c r="D7" s="248"/>
      <c r="E7" s="248"/>
      <c r="F7" s="248"/>
      <c r="G7" s="246"/>
      <c r="H7" s="246"/>
      <c r="I7" s="246"/>
      <c r="Q7" s="9">
        <v>7</v>
      </c>
    </row>
    <row r="8" spans="1:17" s="9" customFormat="1" ht="16.5" customHeight="1" x14ac:dyDescent="0.2">
      <c r="A8" s="249" t="s">
        <v>37</v>
      </c>
      <c r="B8" s="250"/>
      <c r="C8" s="250"/>
      <c r="D8" s="250"/>
      <c r="E8" s="250"/>
      <c r="F8" s="250"/>
      <c r="G8" s="250"/>
      <c r="H8" s="250"/>
      <c r="I8" s="250"/>
    </row>
    <row r="9" spans="1:17" ht="25.5" customHeight="1" x14ac:dyDescent="0.25">
      <c r="A9" s="53">
        <v>1</v>
      </c>
      <c r="B9" s="238" t="s">
        <v>186</v>
      </c>
      <c r="C9" s="239"/>
      <c r="D9" s="239"/>
      <c r="E9" s="239"/>
      <c r="F9" s="239"/>
      <c r="G9" s="240"/>
      <c r="H9" s="79" t="s">
        <v>30</v>
      </c>
      <c r="I9" s="34">
        <f>I18</f>
        <v>5853.28</v>
      </c>
    </row>
    <row r="10" spans="1:17" ht="38.25" x14ac:dyDescent="0.25">
      <c r="A10" s="79" t="s">
        <v>4</v>
      </c>
      <c r="B10" s="79" t="s">
        <v>129</v>
      </c>
      <c r="C10" s="79" t="s">
        <v>130</v>
      </c>
      <c r="D10" s="79" t="s">
        <v>131</v>
      </c>
      <c r="E10" s="88" t="s">
        <v>187</v>
      </c>
      <c r="F10" s="80" t="s">
        <v>20</v>
      </c>
      <c r="G10" s="80" t="s">
        <v>21</v>
      </c>
      <c r="H10" s="80" t="s">
        <v>132</v>
      </c>
      <c r="I10" s="34" t="s">
        <v>133</v>
      </c>
    </row>
    <row r="11" spans="1:17" ht="35.25" customHeight="1" x14ac:dyDescent="0.25">
      <c r="A11" s="15" t="str">
        <f>"00"&amp;$A$9&amp;"."&amp;Q1</f>
        <v>001.1</v>
      </c>
      <c r="B11" s="30" t="s">
        <v>185</v>
      </c>
      <c r="C11" s="81" t="str">
        <f>"COMP-PMNE-00"&amp;A19</f>
        <v>COMP-PMNE-002</v>
      </c>
      <c r="D11" s="30" t="s">
        <v>185</v>
      </c>
      <c r="E11" s="103" t="s">
        <v>188</v>
      </c>
      <c r="F11" s="15" t="s">
        <v>28</v>
      </c>
      <c r="G11" s="14">
        <f>'Memória de cálculo - Composição'!I13</f>
        <v>2.0699999999999998</v>
      </c>
      <c r="H11" s="5">
        <f>I29</f>
        <v>220.68</v>
      </c>
      <c r="I11" s="39">
        <f t="shared" ref="I11:I17" si="0">G11*H11</f>
        <v>456.81</v>
      </c>
    </row>
    <row r="12" spans="1:17" ht="25.5" customHeight="1" x14ac:dyDescent="0.25">
      <c r="A12" s="15" t="str">
        <f t="shared" ref="A12:A17" si="1">"00"&amp;$A$9&amp;"."&amp;Q2</f>
        <v>001.2</v>
      </c>
      <c r="B12" s="30" t="s">
        <v>185</v>
      </c>
      <c r="C12" s="81">
        <v>92803</v>
      </c>
      <c r="D12" s="30" t="s">
        <v>183</v>
      </c>
      <c r="E12" s="103" t="s">
        <v>189</v>
      </c>
      <c r="F12" s="15" t="s">
        <v>32</v>
      </c>
      <c r="G12" s="14">
        <f>'Memória de cálculo - Composição'!I18</f>
        <v>49.76</v>
      </c>
      <c r="H12" s="5">
        <v>11.72</v>
      </c>
      <c r="I12" s="39">
        <f t="shared" si="0"/>
        <v>583.19000000000005</v>
      </c>
    </row>
    <row r="13" spans="1:17" ht="25.5" customHeight="1" x14ac:dyDescent="0.25">
      <c r="A13" s="15" t="str">
        <f t="shared" si="1"/>
        <v>001.3</v>
      </c>
      <c r="B13" s="30" t="s">
        <v>185</v>
      </c>
      <c r="C13" s="81">
        <v>99252</v>
      </c>
      <c r="D13" s="30" t="s">
        <v>183</v>
      </c>
      <c r="E13" s="103" t="s">
        <v>190</v>
      </c>
      <c r="F13" s="15" t="s">
        <v>30</v>
      </c>
      <c r="G13" s="14">
        <v>1</v>
      </c>
      <c r="H13" s="5">
        <v>2340.17</v>
      </c>
      <c r="I13" s="39">
        <f t="shared" si="0"/>
        <v>2340.17</v>
      </c>
    </row>
    <row r="14" spans="1:17" ht="35.25" customHeight="1" x14ac:dyDescent="0.25">
      <c r="A14" s="15" t="str">
        <f t="shared" si="1"/>
        <v>001.4</v>
      </c>
      <c r="B14" s="30" t="s">
        <v>185</v>
      </c>
      <c r="C14" s="81" t="s">
        <v>218</v>
      </c>
      <c r="D14" s="30" t="s">
        <v>173</v>
      </c>
      <c r="E14" s="103" t="s">
        <v>191</v>
      </c>
      <c r="F14" s="15" t="s">
        <v>29</v>
      </c>
      <c r="G14" s="14">
        <f>'Memória de cálculo - Composição'!I22</f>
        <v>2.0699999999999998</v>
      </c>
      <c r="H14" s="5">
        <v>682.74</v>
      </c>
      <c r="I14" s="39">
        <f t="shared" si="0"/>
        <v>1413.27</v>
      </c>
    </row>
    <row r="15" spans="1:17" ht="25.5" customHeight="1" x14ac:dyDescent="0.25">
      <c r="A15" s="15" t="str">
        <f t="shared" si="1"/>
        <v>001.5</v>
      </c>
      <c r="B15" s="30" t="s">
        <v>185</v>
      </c>
      <c r="C15" s="81">
        <v>92803</v>
      </c>
      <c r="D15" s="30" t="s">
        <v>183</v>
      </c>
      <c r="E15" s="103" t="s">
        <v>192</v>
      </c>
      <c r="F15" s="15" t="s">
        <v>32</v>
      </c>
      <c r="G15" s="14">
        <f>'Memória de cálculo - Composição'!I27</f>
        <v>49.76</v>
      </c>
      <c r="H15" s="5">
        <v>11.72</v>
      </c>
      <c r="I15" s="39">
        <f t="shared" si="0"/>
        <v>583.19000000000005</v>
      </c>
    </row>
    <row r="16" spans="1:17" ht="35.25" customHeight="1" x14ac:dyDescent="0.25">
      <c r="A16" s="15" t="str">
        <f t="shared" si="1"/>
        <v>001.6</v>
      </c>
      <c r="B16" s="30" t="s">
        <v>185</v>
      </c>
      <c r="C16" s="81">
        <v>87299</v>
      </c>
      <c r="D16" s="30" t="s">
        <v>183</v>
      </c>
      <c r="E16" s="103" t="s">
        <v>193</v>
      </c>
      <c r="F16" s="15" t="s">
        <v>28</v>
      </c>
      <c r="G16" s="14">
        <f>'Memória de cálculo - Composição'!I31</f>
        <v>0.28000000000000003</v>
      </c>
      <c r="H16" s="5">
        <v>429.9</v>
      </c>
      <c r="I16" s="39">
        <f t="shared" si="0"/>
        <v>120.37</v>
      </c>
    </row>
    <row r="17" spans="1:17" ht="25.5" customHeight="1" x14ac:dyDescent="0.25">
      <c r="A17" s="15" t="str">
        <f t="shared" si="1"/>
        <v>001.7</v>
      </c>
      <c r="B17" s="30" t="s">
        <v>185</v>
      </c>
      <c r="C17" s="81">
        <v>100066</v>
      </c>
      <c r="D17" s="30" t="s">
        <v>183</v>
      </c>
      <c r="E17" s="103" t="s">
        <v>194</v>
      </c>
      <c r="F17" s="15" t="s">
        <v>32</v>
      </c>
      <c r="G17" s="14">
        <f>'Memória de cálculo - Composição'!I35</f>
        <v>24.88</v>
      </c>
      <c r="H17" s="5">
        <v>14.32</v>
      </c>
      <c r="I17" s="39">
        <f t="shared" si="0"/>
        <v>356.28</v>
      </c>
    </row>
    <row r="18" spans="1:17" ht="16.5" customHeight="1" x14ac:dyDescent="0.25">
      <c r="A18" s="186" t="str">
        <f>"TOTAL - "&amp;G9</f>
        <v xml:space="preserve">TOTAL - </v>
      </c>
      <c r="B18" s="187"/>
      <c r="C18" s="187"/>
      <c r="D18" s="187"/>
      <c r="E18" s="187"/>
      <c r="F18" s="187"/>
      <c r="G18" s="187"/>
      <c r="H18" s="188"/>
      <c r="I18" s="41">
        <f>SUM(I11:I17)</f>
        <v>5853.28</v>
      </c>
    </row>
    <row r="19" spans="1:17" s="89" customFormat="1" ht="25.5" customHeight="1" x14ac:dyDescent="0.2">
      <c r="A19" s="53">
        <v>2</v>
      </c>
      <c r="B19" s="238" t="s">
        <v>188</v>
      </c>
      <c r="C19" s="239"/>
      <c r="D19" s="239"/>
      <c r="E19" s="239"/>
      <c r="F19" s="239"/>
      <c r="G19" s="240"/>
      <c r="H19" s="79" t="s">
        <v>28</v>
      </c>
      <c r="I19" s="34">
        <f>I29</f>
        <v>220.68</v>
      </c>
      <c r="Q19" s="90"/>
    </row>
    <row r="20" spans="1:17" s="89" customFormat="1" ht="16.5" customHeight="1" x14ac:dyDescent="0.2">
      <c r="A20" s="177" t="s">
        <v>4</v>
      </c>
      <c r="B20" s="177" t="s">
        <v>207</v>
      </c>
      <c r="C20" s="177" t="s">
        <v>208</v>
      </c>
      <c r="D20" s="80"/>
      <c r="E20" s="177" t="s">
        <v>187</v>
      </c>
      <c r="F20" s="177" t="s">
        <v>20</v>
      </c>
      <c r="G20" s="177" t="s">
        <v>21</v>
      </c>
      <c r="H20" s="177" t="s">
        <v>209</v>
      </c>
      <c r="I20" s="241" t="s">
        <v>210</v>
      </c>
      <c r="Q20" s="90"/>
    </row>
    <row r="21" spans="1:17" s="89" customFormat="1" ht="11.25" customHeight="1" x14ac:dyDescent="0.2">
      <c r="A21" s="178"/>
      <c r="B21" s="178"/>
      <c r="C21" s="178"/>
      <c r="D21" s="91"/>
      <c r="E21" s="178"/>
      <c r="F21" s="178"/>
      <c r="G21" s="178"/>
      <c r="H21" s="178"/>
      <c r="I21" s="242"/>
      <c r="Q21" s="90"/>
    </row>
    <row r="22" spans="1:17" s="89" customFormat="1" ht="25.5" customHeight="1" x14ac:dyDescent="0.2">
      <c r="A22" s="15" t="str">
        <f>"00"&amp;$A$19&amp;"."&amp;Q1</f>
        <v>002.1</v>
      </c>
      <c r="B22" s="40">
        <v>97102</v>
      </c>
      <c r="C22" s="81">
        <v>96624</v>
      </c>
      <c r="D22" s="30" t="s">
        <v>183</v>
      </c>
      <c r="E22" s="92" t="s">
        <v>211</v>
      </c>
      <c r="F22" s="15" t="s">
        <v>29</v>
      </c>
      <c r="G22" s="14">
        <v>0.1</v>
      </c>
      <c r="H22" s="5">
        <v>148.16</v>
      </c>
      <c r="I22" s="5">
        <f>G22*H22</f>
        <v>14.82</v>
      </c>
      <c r="Q22" s="90"/>
    </row>
    <row r="23" spans="1:17" s="89" customFormat="1" ht="25.5" customHeight="1" x14ac:dyDescent="0.2">
      <c r="A23" s="15" t="str">
        <f t="shared" ref="A23:A28" si="2">"00"&amp;$A$19&amp;"."&amp;Q2</f>
        <v>002.2</v>
      </c>
      <c r="B23" s="40">
        <v>97102</v>
      </c>
      <c r="C23" s="81">
        <v>97082</v>
      </c>
      <c r="D23" s="30" t="s">
        <v>183</v>
      </c>
      <c r="E23" s="92" t="s">
        <v>212</v>
      </c>
      <c r="F23" s="15" t="s">
        <v>29</v>
      </c>
      <c r="G23" s="14">
        <v>3.5000000000000003E-2</v>
      </c>
      <c r="H23" s="5">
        <v>47.07</v>
      </c>
      <c r="I23" s="5">
        <f t="shared" ref="I23:I28" si="3">G23*H23</f>
        <v>1.65</v>
      </c>
      <c r="Q23" s="90"/>
    </row>
    <row r="24" spans="1:17" s="89" customFormat="1" ht="25.5" customHeight="1" x14ac:dyDescent="0.2">
      <c r="A24" s="15" t="str">
        <f t="shared" si="2"/>
        <v>002.3</v>
      </c>
      <c r="B24" s="40">
        <v>97102</v>
      </c>
      <c r="C24" s="81">
        <v>97083</v>
      </c>
      <c r="D24" s="30" t="s">
        <v>183</v>
      </c>
      <c r="E24" s="92" t="s">
        <v>213</v>
      </c>
      <c r="F24" s="15" t="s">
        <v>28</v>
      </c>
      <c r="G24" s="14">
        <v>1</v>
      </c>
      <c r="H24" s="5">
        <v>2.6</v>
      </c>
      <c r="I24" s="5">
        <f t="shared" si="3"/>
        <v>2.6</v>
      </c>
      <c r="Q24" s="90"/>
    </row>
    <row r="25" spans="1:17" s="89" customFormat="1" ht="25.5" customHeight="1" x14ac:dyDescent="0.2">
      <c r="A25" s="15" t="str">
        <f t="shared" si="2"/>
        <v>002.4</v>
      </c>
      <c r="B25" s="40">
        <v>97102</v>
      </c>
      <c r="C25" s="81">
        <v>97086</v>
      </c>
      <c r="D25" s="30" t="s">
        <v>183</v>
      </c>
      <c r="E25" s="92" t="s">
        <v>214</v>
      </c>
      <c r="F25" s="15" t="s">
        <v>28</v>
      </c>
      <c r="G25" s="14">
        <v>0.06</v>
      </c>
      <c r="H25" s="5">
        <v>127.41</v>
      </c>
      <c r="I25" s="5">
        <f t="shared" si="3"/>
        <v>7.64</v>
      </c>
      <c r="Q25" s="90"/>
    </row>
    <row r="26" spans="1:17" s="89" customFormat="1" ht="25.5" customHeight="1" x14ac:dyDescent="0.2">
      <c r="A26" s="15" t="str">
        <f t="shared" si="2"/>
        <v>002.5</v>
      </c>
      <c r="B26" s="40">
        <v>97102</v>
      </c>
      <c r="C26" s="81">
        <v>97087</v>
      </c>
      <c r="D26" s="30" t="s">
        <v>183</v>
      </c>
      <c r="E26" s="92" t="s">
        <v>215</v>
      </c>
      <c r="F26" s="15" t="s">
        <v>28</v>
      </c>
      <c r="G26" s="14">
        <v>1</v>
      </c>
      <c r="H26" s="5">
        <v>2.62</v>
      </c>
      <c r="I26" s="5">
        <f t="shared" si="3"/>
        <v>2.62</v>
      </c>
      <c r="Q26" s="90"/>
    </row>
    <row r="27" spans="1:17" s="89" customFormat="1" ht="25.5" customHeight="1" x14ac:dyDescent="0.2">
      <c r="A27" s="15" t="str">
        <f t="shared" si="2"/>
        <v>002.6</v>
      </c>
      <c r="B27" s="40">
        <v>97102</v>
      </c>
      <c r="C27" s="81">
        <v>97092</v>
      </c>
      <c r="D27" s="30" t="s">
        <v>183</v>
      </c>
      <c r="E27" s="92" t="s">
        <v>216</v>
      </c>
      <c r="F27" s="15" t="s">
        <v>32</v>
      </c>
      <c r="G27" s="14">
        <v>4.4000000000000004</v>
      </c>
      <c r="H27" s="5">
        <v>20.21</v>
      </c>
      <c r="I27" s="5">
        <f t="shared" si="3"/>
        <v>88.92</v>
      </c>
      <c r="Q27" s="90"/>
    </row>
    <row r="28" spans="1:17" s="89" customFormat="1" ht="25.5" customHeight="1" x14ac:dyDescent="0.2">
      <c r="A28" s="15" t="str">
        <f t="shared" si="2"/>
        <v>002.7</v>
      </c>
      <c r="B28" s="40">
        <v>97102</v>
      </c>
      <c r="C28" s="81">
        <v>97096</v>
      </c>
      <c r="D28" s="30" t="s">
        <v>183</v>
      </c>
      <c r="E28" s="78" t="s">
        <v>217</v>
      </c>
      <c r="F28" s="15" t="s">
        <v>29</v>
      </c>
      <c r="G28" s="14">
        <v>0.15</v>
      </c>
      <c r="H28" s="5">
        <v>682.86</v>
      </c>
      <c r="I28" s="5">
        <f t="shared" si="3"/>
        <v>102.43</v>
      </c>
      <c r="Q28" s="90"/>
    </row>
    <row r="29" spans="1:17" ht="16.5" customHeight="1" x14ac:dyDescent="0.25">
      <c r="A29" s="159" t="str">
        <f>"TOTAL - "&amp;H19</f>
        <v>TOTAL - M2</v>
      </c>
      <c r="B29" s="159"/>
      <c r="C29" s="159"/>
      <c r="D29" s="159"/>
      <c r="E29" s="159"/>
      <c r="F29" s="159"/>
      <c r="G29" s="159"/>
      <c r="H29" s="159"/>
      <c r="I29" s="41">
        <f>SUM(I22:I28)</f>
        <v>220.68</v>
      </c>
      <c r="Q29" s="93"/>
    </row>
    <row r="30" spans="1:17" ht="25.5" customHeight="1" x14ac:dyDescent="0.25">
      <c r="A30" s="53">
        <v>3</v>
      </c>
      <c r="B30" s="238" t="str">
        <f>'Plan. Orçamentária'!D42</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0" s="239"/>
      <c r="D30" s="239"/>
      <c r="E30" s="239"/>
      <c r="F30" s="239"/>
      <c r="G30" s="240"/>
      <c r="H30" s="95" t="s">
        <v>30</v>
      </c>
      <c r="I30" s="34">
        <f>I39</f>
        <v>5634.74</v>
      </c>
    </row>
    <row r="31" spans="1:17" ht="25.5" customHeight="1" x14ac:dyDescent="0.25">
      <c r="A31" s="95" t="s">
        <v>4</v>
      </c>
      <c r="B31" s="95" t="s">
        <v>129</v>
      </c>
      <c r="C31" s="95" t="s">
        <v>130</v>
      </c>
      <c r="D31" s="95" t="s">
        <v>131</v>
      </c>
      <c r="E31" s="96" t="s">
        <v>187</v>
      </c>
      <c r="F31" s="96" t="s">
        <v>20</v>
      </c>
      <c r="G31" s="96" t="s">
        <v>21</v>
      </c>
      <c r="H31" s="96" t="s">
        <v>132</v>
      </c>
      <c r="I31" s="34" t="s">
        <v>133</v>
      </c>
    </row>
    <row r="32" spans="1:17" ht="25.5" customHeight="1" x14ac:dyDescent="0.25">
      <c r="A32" s="15" t="str">
        <f>"00"&amp;$A$30&amp;"."&amp;Q1</f>
        <v>003.1</v>
      </c>
      <c r="B32" s="30" t="s">
        <v>185</v>
      </c>
      <c r="C32" s="81" t="str">
        <f>"COMP-PMNE-00"&amp;A19</f>
        <v>COMP-PMNE-002</v>
      </c>
      <c r="D32" s="30" t="s">
        <v>185</v>
      </c>
      <c r="E32" s="94" t="str">
        <f>B19</f>
        <v>Execução de radier, espessura de 15 cm, Fck = 30 MPa, com uso de formas em madeira serrada inclusive execução de lastro com material granular (pedra britada n.2), escavação manual e compactação mecânica de solo</v>
      </c>
      <c r="F32" s="15" t="str">
        <f>H19</f>
        <v>M2</v>
      </c>
      <c r="G32" s="14">
        <f>'Memória de cálculo - Composição'!I40</f>
        <v>1.96</v>
      </c>
      <c r="H32" s="5">
        <f>I29</f>
        <v>220.68</v>
      </c>
      <c r="I32" s="5">
        <f t="shared" ref="I32:I38" si="4">G32*H32</f>
        <v>432.53</v>
      </c>
    </row>
    <row r="33" spans="1:9" ht="25.5" customHeight="1" x14ac:dyDescent="0.25">
      <c r="A33" s="15" t="str">
        <f t="shared" ref="A33:A38" si="5">"00"&amp;$A$30&amp;"."&amp;Q2</f>
        <v>003.2</v>
      </c>
      <c r="B33" s="30" t="s">
        <v>185</v>
      </c>
      <c r="C33" s="81">
        <v>92803</v>
      </c>
      <c r="D33" s="30" t="s">
        <v>183</v>
      </c>
      <c r="E33" s="94" t="s">
        <v>189</v>
      </c>
      <c r="F33" s="15" t="s">
        <v>32</v>
      </c>
      <c r="G33" s="14">
        <f>'Memória de cálculo - Composição'!I45</f>
        <v>49.76</v>
      </c>
      <c r="H33" s="5">
        <v>11.72</v>
      </c>
      <c r="I33" s="5">
        <f t="shared" si="4"/>
        <v>583.19000000000005</v>
      </c>
    </row>
    <row r="34" spans="1:9" ht="25.5" customHeight="1" x14ac:dyDescent="0.25">
      <c r="A34" s="15" t="str">
        <f t="shared" si="5"/>
        <v>003.3</v>
      </c>
      <c r="B34" s="30" t="s">
        <v>185</v>
      </c>
      <c r="C34" s="81">
        <v>99252</v>
      </c>
      <c r="D34" s="30" t="s">
        <v>183</v>
      </c>
      <c r="E34" s="98" t="s">
        <v>225</v>
      </c>
      <c r="F34" s="15" t="s">
        <v>30</v>
      </c>
      <c r="G34" s="14">
        <v>1</v>
      </c>
      <c r="H34" s="5">
        <v>2340.17</v>
      </c>
      <c r="I34" s="5">
        <f t="shared" si="4"/>
        <v>2340.17</v>
      </c>
    </row>
    <row r="35" spans="1:9" ht="25.5" customHeight="1" x14ac:dyDescent="0.25">
      <c r="A35" s="15" t="str">
        <f t="shared" si="5"/>
        <v>003.4</v>
      </c>
      <c r="B35" s="30" t="s">
        <v>185</v>
      </c>
      <c r="C35" s="81" t="s">
        <v>218</v>
      </c>
      <c r="D35" s="30" t="s">
        <v>173</v>
      </c>
      <c r="E35" s="94" t="s">
        <v>191</v>
      </c>
      <c r="F35" s="15" t="s">
        <v>29</v>
      </c>
      <c r="G35" s="14">
        <f>'Memória de cálculo - Composição'!I49</f>
        <v>1.96</v>
      </c>
      <c r="H35" s="5">
        <v>682.74</v>
      </c>
      <c r="I35" s="5">
        <f t="shared" si="4"/>
        <v>1338.17</v>
      </c>
    </row>
    <row r="36" spans="1:9" ht="25.5" customHeight="1" x14ac:dyDescent="0.25">
      <c r="A36" s="15" t="str">
        <f t="shared" si="5"/>
        <v>003.5</v>
      </c>
      <c r="B36" s="30" t="s">
        <v>185</v>
      </c>
      <c r="C36" s="81">
        <v>92803</v>
      </c>
      <c r="D36" s="30" t="s">
        <v>183</v>
      </c>
      <c r="E36" s="94" t="s">
        <v>226</v>
      </c>
      <c r="F36" s="15" t="s">
        <v>32</v>
      </c>
      <c r="G36" s="14">
        <f>'Memória de cálculo - Composição'!I54</f>
        <v>49.76</v>
      </c>
      <c r="H36" s="5">
        <v>11.72</v>
      </c>
      <c r="I36" s="5">
        <f t="shared" si="4"/>
        <v>583.19000000000005</v>
      </c>
    </row>
    <row r="37" spans="1:9" ht="25.5" customHeight="1" x14ac:dyDescent="0.25">
      <c r="A37" s="15" t="str">
        <f t="shared" si="5"/>
        <v>003.6</v>
      </c>
      <c r="B37" s="30" t="s">
        <v>185</v>
      </c>
      <c r="C37" s="81">
        <v>87299</v>
      </c>
      <c r="D37" s="30" t="s">
        <v>183</v>
      </c>
      <c r="E37" s="94" t="s">
        <v>193</v>
      </c>
      <c r="F37" s="15" t="s">
        <v>29</v>
      </c>
      <c r="G37" s="14">
        <f>'Memória de cálculo - Composição'!I58</f>
        <v>0.21</v>
      </c>
      <c r="H37" s="5">
        <v>429.9</v>
      </c>
      <c r="I37" s="5">
        <f t="shared" si="4"/>
        <v>90.28</v>
      </c>
    </row>
    <row r="38" spans="1:9" ht="25.5" customHeight="1" x14ac:dyDescent="0.25">
      <c r="A38" s="15" t="str">
        <f t="shared" si="5"/>
        <v>003.7</v>
      </c>
      <c r="B38" s="30" t="s">
        <v>185</v>
      </c>
      <c r="C38" s="81">
        <v>100066</v>
      </c>
      <c r="D38" s="30" t="s">
        <v>183</v>
      </c>
      <c r="E38" s="94" t="s">
        <v>194</v>
      </c>
      <c r="F38" s="15" t="s">
        <v>32</v>
      </c>
      <c r="G38" s="14">
        <f>'Memória de cálculo - Composição'!I62</f>
        <v>18.66</v>
      </c>
      <c r="H38" s="5">
        <v>14.32</v>
      </c>
      <c r="I38" s="5">
        <f t="shared" si="4"/>
        <v>267.20999999999998</v>
      </c>
    </row>
    <row r="39" spans="1:9" ht="25.5" customHeight="1" x14ac:dyDescent="0.25">
      <c r="A39" s="159" t="str">
        <f>"TOTAL - "&amp;H30</f>
        <v>TOTAL - UN</v>
      </c>
      <c r="B39" s="159"/>
      <c r="C39" s="159"/>
      <c r="D39" s="159"/>
      <c r="E39" s="159"/>
      <c r="F39" s="159"/>
      <c r="G39" s="159"/>
      <c r="H39" s="159"/>
      <c r="I39" s="41">
        <f>SUM(I32:I38)</f>
        <v>5634.74</v>
      </c>
    </row>
  </sheetData>
  <mergeCells count="23">
    <mergeCell ref="A4:I4"/>
    <mergeCell ref="A1:I3"/>
    <mergeCell ref="B9:G9"/>
    <mergeCell ref="A6:A7"/>
    <mergeCell ref="A5:I5"/>
    <mergeCell ref="I6:I7"/>
    <mergeCell ref="H6:H7"/>
    <mergeCell ref="B6:F7"/>
    <mergeCell ref="G6:G7"/>
    <mergeCell ref="A8:I8"/>
    <mergeCell ref="B30:G30"/>
    <mergeCell ref="A39:H39"/>
    <mergeCell ref="H20:H21"/>
    <mergeCell ref="I20:I21"/>
    <mergeCell ref="A18:H18"/>
    <mergeCell ref="A29:H29"/>
    <mergeCell ref="B19:G19"/>
    <mergeCell ref="A20:A21"/>
    <mergeCell ref="B20:B21"/>
    <mergeCell ref="C20:C21"/>
    <mergeCell ref="E20:E21"/>
    <mergeCell ref="F20:F21"/>
    <mergeCell ref="G20:G21"/>
  </mergeCells>
  <phoneticPr fontId="16" type="noConversion"/>
  <pageMargins left="0.19685039370078741" right="0.19685039370078741" top="0.19685039370078741" bottom="1.1811023622047245" header="0.31496062992125984" footer="0.31496062992125984"/>
  <pageSetup paperSize="9" scale="72" fitToHeight="0" orientation="landscape" verticalDpi="4294967295" r:id="rId1"/>
  <headerFooter>
    <oddFooter>Página &amp;P de &amp;N</oddFooter>
  </headerFooter>
  <rowBreaks count="1" manualBreakCount="1">
    <brk id="29"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view="pageBreakPreview" zoomScaleNormal="100" zoomScaleSheetLayoutView="100" workbookViewId="0">
      <selection activeCell="H77" sqref="H77"/>
    </sheetView>
  </sheetViews>
  <sheetFormatPr defaultRowHeight="15" x14ac:dyDescent="0.25"/>
  <cols>
    <col min="2" max="2" width="80.5703125" customWidth="1"/>
    <col min="3" max="9" width="18.7109375" customWidth="1"/>
  </cols>
  <sheetData>
    <row r="1" spans="1:9" s="9" customFormat="1" ht="16.5" customHeight="1" x14ac:dyDescent="0.2">
      <c r="A1" s="244" t="s">
        <v>25</v>
      </c>
      <c r="B1" s="244"/>
      <c r="C1" s="244"/>
      <c r="D1" s="244"/>
      <c r="E1" s="244"/>
      <c r="F1" s="244"/>
      <c r="G1" s="244"/>
      <c r="H1" s="244"/>
      <c r="I1" s="244"/>
    </row>
    <row r="2" spans="1:9" s="9" customFormat="1" ht="16.5" customHeight="1" x14ac:dyDescent="0.2">
      <c r="A2" s="244"/>
      <c r="B2" s="244"/>
      <c r="C2" s="244"/>
      <c r="D2" s="244"/>
      <c r="E2" s="244"/>
      <c r="F2" s="244"/>
      <c r="G2" s="244"/>
      <c r="H2" s="244"/>
      <c r="I2" s="244"/>
    </row>
    <row r="3" spans="1:9" s="9" customFormat="1" ht="16.5" customHeight="1" x14ac:dyDescent="0.2">
      <c r="A3" s="244"/>
      <c r="B3" s="244"/>
      <c r="C3" s="244"/>
      <c r="D3" s="244"/>
      <c r="E3" s="244"/>
      <c r="F3" s="244"/>
      <c r="G3" s="244"/>
      <c r="H3" s="244"/>
      <c r="I3" s="244"/>
    </row>
    <row r="4" spans="1:9" s="9" customFormat="1" ht="16.5" customHeight="1" x14ac:dyDescent="0.2">
      <c r="A4" s="243" t="str">
        <f>'Plan. Orçamentária'!A4:I4</f>
        <v>OBRA POR EXECUÇÃO INDIRETA</v>
      </c>
      <c r="B4" s="243"/>
      <c r="C4" s="243"/>
      <c r="D4" s="243"/>
      <c r="E4" s="243"/>
      <c r="F4" s="243"/>
      <c r="G4" s="243"/>
      <c r="H4" s="243"/>
      <c r="I4" s="243"/>
    </row>
    <row r="5" spans="1:9" s="9" customFormat="1" ht="16.5" customHeight="1" x14ac:dyDescent="0.2">
      <c r="A5" s="245" t="str">
        <f>'Plan. Orçamentária'!A5:I5</f>
        <v>Setor requisitante: Secretaria Municipal de Obras e Serviços Urbanos</v>
      </c>
      <c r="B5" s="245"/>
      <c r="C5" s="245"/>
      <c r="D5" s="245"/>
      <c r="E5" s="245"/>
      <c r="F5" s="245"/>
      <c r="G5" s="245"/>
      <c r="H5" s="245"/>
      <c r="I5" s="245"/>
    </row>
    <row r="6" spans="1:9" s="9" customFormat="1" ht="16.5" customHeight="1" x14ac:dyDescent="0.2">
      <c r="A6" s="245" t="str">
        <f>'Plan. Orçamentária'!A6:B7</f>
        <v>Objeto:</v>
      </c>
      <c r="B6" s="248" t="str">
        <f>'Plan. Orçamentária'!C6</f>
        <v>LOTE 02 - Pavimentação de via em piso de concreto pré-moldado intertravado, tipo Sextavado - Rua Custódio Costa Lage, Rua Gabriel Martins Quintão e Avenida Nuno Lage, bairro Santa Maria - Nova Era/MG</v>
      </c>
      <c r="C6" s="248"/>
      <c r="D6" s="248"/>
      <c r="E6" s="248"/>
      <c r="F6" s="248"/>
      <c r="G6" s="246" t="str">
        <f>'Plan. Orçamentária'!G6:G7</f>
        <v>BDI:</v>
      </c>
      <c r="H6" s="247">
        <f>'Plan. Orçamentária'!H6:H7</f>
        <v>0.30380000000000001</v>
      </c>
      <c r="I6" s="246">
        <f ca="1">'Plan. Orçamentária'!I6:I7</f>
        <v>44887</v>
      </c>
    </row>
    <row r="7" spans="1:9" s="9" customFormat="1" ht="16.5" customHeight="1" x14ac:dyDescent="0.2">
      <c r="A7" s="245"/>
      <c r="B7" s="248"/>
      <c r="C7" s="248"/>
      <c r="D7" s="248"/>
      <c r="E7" s="248"/>
      <c r="F7" s="248"/>
      <c r="G7" s="246"/>
      <c r="H7" s="246"/>
      <c r="I7" s="246"/>
    </row>
    <row r="8" spans="1:9" s="9" customFormat="1" ht="16.5" customHeight="1" x14ac:dyDescent="0.2">
      <c r="A8" s="254" t="s">
        <v>37</v>
      </c>
      <c r="B8" s="255"/>
      <c r="C8" s="255"/>
      <c r="D8" s="255"/>
      <c r="E8" s="255"/>
      <c r="F8" s="255"/>
      <c r="G8" s="255"/>
      <c r="H8" s="255"/>
      <c r="I8" s="255"/>
    </row>
    <row r="9" spans="1:9" s="12" customFormat="1" ht="31.5" customHeight="1" x14ac:dyDescent="0.25">
      <c r="A9" s="82" t="str">
        <f>'Plan. Orçamentária'!A41</f>
        <v>5.11</v>
      </c>
      <c r="B9" s="258" t="str">
        <f>'C.P.U.'!B9</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9" s="258"/>
      <c r="D9" s="258"/>
      <c r="E9" s="258"/>
      <c r="F9" s="258"/>
      <c r="G9" s="258"/>
      <c r="H9" s="258"/>
      <c r="I9" s="258"/>
    </row>
    <row r="10" spans="1:9" s="12" customFormat="1" ht="16.5" customHeight="1" x14ac:dyDescent="0.25">
      <c r="A10" s="83" t="str">
        <f>'C.P.U.'!A11</f>
        <v>001.1</v>
      </c>
      <c r="B10" s="256" t="str">
        <f>'C.P.U.'!E11</f>
        <v>Execução de radier, espessura de 15 cm, Fck = 30 MPa, com uso de formas em madeira serrada inclusive execução de lastro com material granular (pedra britada n.2), escavação manual e compactação mecânica de solo</v>
      </c>
      <c r="C10" s="256"/>
      <c r="D10" s="256"/>
      <c r="E10" s="256"/>
      <c r="F10" s="256"/>
      <c r="G10" s="256"/>
      <c r="H10" s="256"/>
      <c r="I10" s="256"/>
    </row>
    <row r="11" spans="1:9" s="12" customFormat="1" ht="16.5" customHeight="1" x14ac:dyDescent="0.25">
      <c r="A11" s="170" t="s">
        <v>12</v>
      </c>
      <c r="B11" s="170"/>
      <c r="C11" s="11" t="s">
        <v>13</v>
      </c>
      <c r="D11" s="11" t="s">
        <v>14</v>
      </c>
      <c r="E11" s="11" t="s">
        <v>15</v>
      </c>
      <c r="F11" s="11" t="s">
        <v>119</v>
      </c>
      <c r="G11" s="11" t="s">
        <v>195</v>
      </c>
      <c r="H11" s="11" t="s">
        <v>27</v>
      </c>
      <c r="I11" s="11" t="s">
        <v>19</v>
      </c>
    </row>
    <row r="12" spans="1:9" s="12" customFormat="1" ht="16.5" customHeight="1" x14ac:dyDescent="0.25">
      <c r="A12" s="257" t="s">
        <v>196</v>
      </c>
      <c r="B12" s="257"/>
      <c r="C12" s="84">
        <v>1.44</v>
      </c>
      <c r="D12" s="84">
        <v>1.44</v>
      </c>
      <c r="E12" s="84"/>
      <c r="F12" s="84"/>
      <c r="G12" s="84"/>
      <c r="H12" s="85"/>
      <c r="I12" s="84">
        <f>PRODUCT(C12:H12)</f>
        <v>2.0699999999999998</v>
      </c>
    </row>
    <row r="13" spans="1:9" s="12" customFormat="1" ht="16.5" customHeight="1" x14ac:dyDescent="0.25">
      <c r="A13" s="170" t="str">
        <f>"TOTAL - "&amp;[2]Composição!F21</f>
        <v>TOTAL - M3</v>
      </c>
      <c r="B13" s="170"/>
      <c r="C13" s="170"/>
      <c r="D13" s="170"/>
      <c r="E13" s="170"/>
      <c r="F13" s="170"/>
      <c r="G13" s="170"/>
      <c r="H13" s="170"/>
      <c r="I13" s="86">
        <f>SUM(I12)</f>
        <v>2.0699999999999998</v>
      </c>
    </row>
    <row r="14" spans="1:9" s="12" customFormat="1" ht="16.5" customHeight="1" x14ac:dyDescent="0.25">
      <c r="A14" s="83" t="str">
        <f>'C.P.U.'!A12</f>
        <v>001.2</v>
      </c>
      <c r="B14" s="256" t="str">
        <f>'C.P.U.'!E12</f>
        <v>Corte e dobra de aço CA-50, diâmetro de 10,0 mm (0,617kg/m), utilizado em estrutura diversas (Armadura positiva e negativa em duas direções para radier)</v>
      </c>
      <c r="C14" s="256"/>
      <c r="D14" s="256"/>
      <c r="E14" s="256"/>
      <c r="F14" s="256"/>
      <c r="G14" s="256"/>
      <c r="H14" s="256"/>
      <c r="I14" s="256"/>
    </row>
    <row r="15" spans="1:9" s="12" customFormat="1" ht="16.5" customHeight="1" x14ac:dyDescent="0.25">
      <c r="A15" s="170" t="s">
        <v>12</v>
      </c>
      <c r="B15" s="170"/>
      <c r="C15" s="11" t="s">
        <v>13</v>
      </c>
      <c r="D15" s="11" t="s">
        <v>14</v>
      </c>
      <c r="E15" s="11" t="s">
        <v>15</v>
      </c>
      <c r="F15" s="11" t="s">
        <v>119</v>
      </c>
      <c r="G15" s="11" t="s">
        <v>197</v>
      </c>
      <c r="H15" s="11" t="s">
        <v>198</v>
      </c>
      <c r="I15" s="11" t="s">
        <v>19</v>
      </c>
    </row>
    <row r="16" spans="1:9" s="12" customFormat="1" ht="16.5" customHeight="1" x14ac:dyDescent="0.25">
      <c r="A16" s="257" t="s">
        <v>199</v>
      </c>
      <c r="B16" s="257"/>
      <c r="C16" s="84">
        <v>1.44</v>
      </c>
      <c r="D16" s="84"/>
      <c r="E16" s="84"/>
      <c r="F16" s="84">
        <v>14</v>
      </c>
      <c r="G16" s="84">
        <v>2</v>
      </c>
      <c r="H16" s="87">
        <v>0.61699999999999999</v>
      </c>
      <c r="I16" s="84">
        <f>PRODUCT(C16:H16)</f>
        <v>24.88</v>
      </c>
    </row>
    <row r="17" spans="1:9" s="12" customFormat="1" ht="16.5" customHeight="1" x14ac:dyDescent="0.25">
      <c r="A17" s="257" t="s">
        <v>200</v>
      </c>
      <c r="B17" s="257"/>
      <c r="C17" s="84">
        <v>1.44</v>
      </c>
      <c r="D17" s="84"/>
      <c r="E17" s="84"/>
      <c r="F17" s="84">
        <v>14</v>
      </c>
      <c r="G17" s="84">
        <v>2</v>
      </c>
      <c r="H17" s="87">
        <v>0.61699999999999999</v>
      </c>
      <c r="I17" s="84">
        <f>PRODUCT(C17:H17)</f>
        <v>24.88</v>
      </c>
    </row>
    <row r="18" spans="1:9" s="12" customFormat="1" ht="16.5" customHeight="1" x14ac:dyDescent="0.25">
      <c r="A18" s="170" t="str">
        <f>"TOTAL - "&amp;[2]Composição!F22</f>
        <v>TOTAL - M2</v>
      </c>
      <c r="B18" s="170"/>
      <c r="C18" s="170"/>
      <c r="D18" s="170"/>
      <c r="E18" s="170"/>
      <c r="F18" s="170"/>
      <c r="G18" s="170"/>
      <c r="H18" s="170"/>
      <c r="I18" s="86">
        <f>SUM(I16:I17)</f>
        <v>49.76</v>
      </c>
    </row>
    <row r="19" spans="1:9" s="12" customFormat="1" ht="16.5" customHeight="1" x14ac:dyDescent="0.25">
      <c r="A19" s="83" t="str">
        <f>'C.P.U.'!A14</f>
        <v>001.4</v>
      </c>
      <c r="B19" s="256" t="str">
        <f>'C.P.U.'!E14</f>
        <v>Confecção de tampa em concreto armado, com armadura de ø 10,00 mm em duas direções, para poço de visita, Fck ≥ 35 MPa, inclusive lançamento de concreto, adensamento com vibrador de imersão, acabamento e formas</v>
      </c>
      <c r="C19" s="256"/>
      <c r="D19" s="256"/>
      <c r="E19" s="256"/>
      <c r="F19" s="256"/>
      <c r="G19" s="256"/>
      <c r="H19" s="256"/>
      <c r="I19" s="256"/>
    </row>
    <row r="20" spans="1:9" s="12" customFormat="1" ht="16.5" customHeight="1" x14ac:dyDescent="0.25">
      <c r="A20" s="170" t="s">
        <v>12</v>
      </c>
      <c r="B20" s="170"/>
      <c r="C20" s="11" t="s">
        <v>13</v>
      </c>
      <c r="D20" s="11" t="s">
        <v>14</v>
      </c>
      <c r="E20" s="11" t="s">
        <v>15</v>
      </c>
      <c r="F20" s="11" t="s">
        <v>119</v>
      </c>
      <c r="G20" s="11" t="s">
        <v>195</v>
      </c>
      <c r="H20" s="11" t="s">
        <v>27</v>
      </c>
      <c r="I20" s="11" t="s">
        <v>19</v>
      </c>
    </row>
    <row r="21" spans="1:9" s="12" customFormat="1" ht="16.5" customHeight="1" x14ac:dyDescent="0.25">
      <c r="A21" s="257" t="s">
        <v>201</v>
      </c>
      <c r="B21" s="257"/>
      <c r="C21" s="84">
        <v>1.44</v>
      </c>
      <c r="D21" s="84">
        <v>1.44</v>
      </c>
      <c r="E21" s="84"/>
      <c r="F21" s="84"/>
      <c r="G21" s="84"/>
      <c r="H21" s="85"/>
      <c r="I21" s="84">
        <f>PRODUCT(C21:H21)</f>
        <v>2.0699999999999998</v>
      </c>
    </row>
    <row r="22" spans="1:9" s="12" customFormat="1" ht="16.5" customHeight="1" x14ac:dyDescent="0.25">
      <c r="A22" s="170" t="str">
        <f>"TOTAL - "&amp;[2]Composição!F24</f>
        <v>TOTAL - M2</v>
      </c>
      <c r="B22" s="170"/>
      <c r="C22" s="170"/>
      <c r="D22" s="170"/>
      <c r="E22" s="170"/>
      <c r="F22" s="170"/>
      <c r="G22" s="170"/>
      <c r="H22" s="170"/>
      <c r="I22" s="86">
        <f>SUM(I21)</f>
        <v>2.0699999999999998</v>
      </c>
    </row>
    <row r="23" spans="1:9" s="12" customFormat="1" ht="16.5" customHeight="1" x14ac:dyDescent="0.25">
      <c r="A23" s="83" t="str">
        <f>'C.P.U.'!A15</f>
        <v>001.5</v>
      </c>
      <c r="B23" s="256" t="str">
        <f>'C.P.U.'!E15</f>
        <v>Corte e dobra de aço CA-50, diâmetro de 10,0 mm (0,617kg/m), utilizado em estrutura diversas (Armadura positiva e negativa em duas direções para tampa de concreto</v>
      </c>
      <c r="C23" s="256"/>
      <c r="D23" s="256"/>
      <c r="E23" s="256"/>
      <c r="F23" s="256"/>
      <c r="G23" s="256"/>
      <c r="H23" s="256"/>
      <c r="I23" s="256"/>
    </row>
    <row r="24" spans="1:9" s="12" customFormat="1" ht="16.5" customHeight="1" x14ac:dyDescent="0.25">
      <c r="A24" s="170" t="s">
        <v>12</v>
      </c>
      <c r="B24" s="170"/>
      <c r="C24" s="11" t="s">
        <v>13</v>
      </c>
      <c r="D24" s="11" t="s">
        <v>14</v>
      </c>
      <c r="E24" s="11" t="s">
        <v>15</v>
      </c>
      <c r="F24" s="11" t="s">
        <v>119</v>
      </c>
      <c r="G24" s="11" t="s">
        <v>197</v>
      </c>
      <c r="H24" s="11" t="s">
        <v>202</v>
      </c>
      <c r="I24" s="11" t="s">
        <v>19</v>
      </c>
    </row>
    <row r="25" spans="1:9" s="12" customFormat="1" ht="16.5" customHeight="1" x14ac:dyDescent="0.25">
      <c r="A25" s="257" t="s">
        <v>203</v>
      </c>
      <c r="B25" s="257"/>
      <c r="C25" s="84">
        <v>1.44</v>
      </c>
      <c r="D25" s="84"/>
      <c r="E25" s="84"/>
      <c r="F25" s="84">
        <v>14</v>
      </c>
      <c r="G25" s="84">
        <v>2</v>
      </c>
      <c r="H25" s="87">
        <v>0.61699999999999999</v>
      </c>
      <c r="I25" s="84">
        <f>PRODUCT(C25:H25)</f>
        <v>24.88</v>
      </c>
    </row>
    <row r="26" spans="1:9" s="12" customFormat="1" ht="16.5" customHeight="1" x14ac:dyDescent="0.25">
      <c r="A26" s="257" t="s">
        <v>204</v>
      </c>
      <c r="B26" s="257"/>
      <c r="C26" s="84">
        <v>1.44</v>
      </c>
      <c r="D26" s="84"/>
      <c r="E26" s="84"/>
      <c r="F26" s="84">
        <v>14</v>
      </c>
      <c r="G26" s="84">
        <v>2</v>
      </c>
      <c r="H26" s="87">
        <v>0.61699999999999999</v>
      </c>
      <c r="I26" s="84">
        <f>PRODUCT(C26:H26)</f>
        <v>24.88</v>
      </c>
    </row>
    <row r="27" spans="1:9" s="12" customFormat="1" ht="16.5" customHeight="1" x14ac:dyDescent="0.25">
      <c r="A27" s="170" t="str">
        <f>"TOTAL - "&amp;[2]Composição!F25</f>
        <v>TOTAL - KG</v>
      </c>
      <c r="B27" s="170"/>
      <c r="C27" s="170"/>
      <c r="D27" s="170"/>
      <c r="E27" s="170"/>
      <c r="F27" s="170"/>
      <c r="G27" s="170"/>
      <c r="H27" s="170"/>
      <c r="I27" s="86">
        <f>SUM(I25:I26)</f>
        <v>49.76</v>
      </c>
    </row>
    <row r="28" spans="1:9" s="12" customFormat="1" ht="16.5" customHeight="1" x14ac:dyDescent="0.25">
      <c r="A28" s="83" t="str">
        <f>'C.P.U.'!A16</f>
        <v>001.6</v>
      </c>
      <c r="B28" s="256" t="str">
        <f>'C.P.U.'!E16</f>
        <v>Reboco, em argamassa traço 1:3 (Em volume de cimento e areia média úmida) para paredes internas, preparo mecânico com betoneira 600 L, aplicado manualmente em faces internas de paredes, espessura de 35 mm.</v>
      </c>
      <c r="C28" s="256"/>
      <c r="D28" s="256"/>
      <c r="E28" s="256"/>
      <c r="F28" s="256"/>
      <c r="G28" s="256"/>
      <c r="H28" s="256"/>
      <c r="I28" s="256"/>
    </row>
    <row r="29" spans="1:9" s="12" customFormat="1" ht="16.5" customHeight="1" x14ac:dyDescent="0.25">
      <c r="A29" s="170" t="s">
        <v>12</v>
      </c>
      <c r="B29" s="170"/>
      <c r="C29" s="11" t="s">
        <v>13</v>
      </c>
      <c r="D29" s="11" t="s">
        <v>14</v>
      </c>
      <c r="E29" s="11" t="s">
        <v>15</v>
      </c>
      <c r="F29" s="11" t="s">
        <v>17</v>
      </c>
      <c r="G29" s="11" t="s">
        <v>205</v>
      </c>
      <c r="H29" s="11" t="s">
        <v>27</v>
      </c>
      <c r="I29" s="11" t="s">
        <v>19</v>
      </c>
    </row>
    <row r="30" spans="1:9" s="12" customFormat="1" ht="16.5" customHeight="1" x14ac:dyDescent="0.25">
      <c r="A30" s="257" t="s">
        <v>206</v>
      </c>
      <c r="B30" s="257"/>
      <c r="C30" s="84"/>
      <c r="D30" s="84">
        <v>1</v>
      </c>
      <c r="E30" s="84">
        <v>2</v>
      </c>
      <c r="F30" s="84">
        <v>4</v>
      </c>
      <c r="G30" s="87">
        <v>3.5000000000000003E-2</v>
      </c>
      <c r="H30" s="85"/>
      <c r="I30" s="84">
        <f>PRODUCT(C30:H30)</f>
        <v>0.28000000000000003</v>
      </c>
    </row>
    <row r="31" spans="1:9" s="12" customFormat="1" ht="16.5" customHeight="1" x14ac:dyDescent="0.25">
      <c r="A31" s="170" t="str">
        <f>"TOTAL - "&amp;[2]Composição!F26</f>
        <v>TOTAL - M3</v>
      </c>
      <c r="B31" s="170"/>
      <c r="C31" s="170"/>
      <c r="D31" s="170"/>
      <c r="E31" s="170"/>
      <c r="F31" s="170"/>
      <c r="G31" s="170"/>
      <c r="H31" s="170"/>
      <c r="I31" s="86">
        <f>SUM(I30)</f>
        <v>0.28000000000000003</v>
      </c>
    </row>
    <row r="32" spans="1:9" s="12" customFormat="1" ht="16.5" customHeight="1" x14ac:dyDescent="0.25">
      <c r="A32" s="83" t="str">
        <f>'C.P.U.'!A17</f>
        <v>001.7</v>
      </c>
      <c r="B32" s="256" t="str">
        <f>'C.P.U.'!E17</f>
        <v>Armação do sistema de paredes com uso de tela Q-196 (3,11 kg/m2)</v>
      </c>
      <c r="C32" s="256"/>
      <c r="D32" s="256"/>
      <c r="E32" s="256"/>
      <c r="F32" s="256"/>
      <c r="G32" s="256"/>
      <c r="H32" s="256"/>
      <c r="I32" s="256"/>
    </row>
    <row r="33" spans="1:9" s="12" customFormat="1" ht="16.5" customHeight="1" x14ac:dyDescent="0.25">
      <c r="A33" s="170" t="s">
        <v>12</v>
      </c>
      <c r="B33" s="170"/>
      <c r="C33" s="11" t="s">
        <v>13</v>
      </c>
      <c r="D33" s="11" t="s">
        <v>14</v>
      </c>
      <c r="E33" s="11" t="s">
        <v>15</v>
      </c>
      <c r="F33" s="11" t="s">
        <v>119</v>
      </c>
      <c r="G33" s="11" t="s">
        <v>197</v>
      </c>
      <c r="H33" s="11" t="s">
        <v>198</v>
      </c>
      <c r="I33" s="11" t="s">
        <v>19</v>
      </c>
    </row>
    <row r="34" spans="1:9" s="12" customFormat="1" ht="16.5" customHeight="1" x14ac:dyDescent="0.25">
      <c r="A34" s="257" t="s">
        <v>201</v>
      </c>
      <c r="B34" s="257"/>
      <c r="C34" s="84"/>
      <c r="D34" s="84">
        <v>1</v>
      </c>
      <c r="E34" s="84">
        <v>2</v>
      </c>
      <c r="F34" s="84"/>
      <c r="G34" s="84">
        <v>4</v>
      </c>
      <c r="H34" s="85">
        <v>3.11</v>
      </c>
      <c r="I34" s="84">
        <f>PRODUCT(C34:H34)</f>
        <v>24.88</v>
      </c>
    </row>
    <row r="35" spans="1:9" s="12" customFormat="1" ht="16.5" customHeight="1" x14ac:dyDescent="0.25">
      <c r="A35" s="170" t="str">
        <f>"TOTAL - "&amp;[2]Composição!F27</f>
        <v xml:space="preserve">TOTAL - </v>
      </c>
      <c r="B35" s="170"/>
      <c r="C35" s="170"/>
      <c r="D35" s="170"/>
      <c r="E35" s="170"/>
      <c r="F35" s="170"/>
      <c r="G35" s="170"/>
      <c r="H35" s="170"/>
      <c r="I35" s="86">
        <f>SUM(I34)</f>
        <v>24.88</v>
      </c>
    </row>
    <row r="36" spans="1:9" s="102" customFormat="1" ht="25.5" customHeight="1" x14ac:dyDescent="0.25">
      <c r="A36" s="82">
        <f>'C.P.U.'!A30</f>
        <v>3</v>
      </c>
      <c r="B36" s="238" t="str">
        <f>'C.P.U.'!B30</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6" s="239"/>
      <c r="D36" s="239"/>
      <c r="E36" s="239"/>
      <c r="F36" s="239"/>
      <c r="G36" s="239"/>
      <c r="H36" s="239"/>
      <c r="I36" s="240"/>
    </row>
    <row r="37" spans="1:9" s="102" customFormat="1" ht="25.5" customHeight="1" x14ac:dyDescent="0.25">
      <c r="A37" s="83" t="str">
        <f>'C.P.U.'!A32</f>
        <v>003.1</v>
      </c>
      <c r="B37" s="251" t="str">
        <f>'C.P.U.'!E32</f>
        <v>Execução de radier, espessura de 15 cm, Fck = 30 MPa, com uso de formas em madeira serrada inclusive execução de lastro com material granular (pedra britada n.2), escavação manual e compactação mecânica de solo</v>
      </c>
      <c r="C37" s="252"/>
      <c r="D37" s="252"/>
      <c r="E37" s="252"/>
      <c r="F37" s="252"/>
      <c r="G37" s="252"/>
      <c r="H37" s="252"/>
      <c r="I37" s="253"/>
    </row>
    <row r="38" spans="1:9" s="102" customFormat="1" ht="16.5" customHeight="1" x14ac:dyDescent="0.25">
      <c r="A38" s="193" t="s">
        <v>12</v>
      </c>
      <c r="B38" s="195"/>
      <c r="C38" s="97" t="s">
        <v>13</v>
      </c>
      <c r="D38" s="97" t="s">
        <v>14</v>
      </c>
      <c r="E38" s="97" t="s">
        <v>15</v>
      </c>
      <c r="F38" s="97" t="s">
        <v>119</v>
      </c>
      <c r="G38" s="97" t="s">
        <v>195</v>
      </c>
      <c r="H38" s="97" t="s">
        <v>27</v>
      </c>
      <c r="I38" s="97" t="s">
        <v>19</v>
      </c>
    </row>
    <row r="39" spans="1:9" s="102" customFormat="1" ht="16.5" customHeight="1" x14ac:dyDescent="0.25">
      <c r="A39" s="172" t="s">
        <v>196</v>
      </c>
      <c r="B39" s="174"/>
      <c r="C39" s="84">
        <v>1.4</v>
      </c>
      <c r="D39" s="84">
        <v>1.4</v>
      </c>
      <c r="E39" s="84"/>
      <c r="F39" s="84"/>
      <c r="G39" s="84"/>
      <c r="H39" s="85"/>
      <c r="I39" s="84">
        <f>PRODUCT(C39:H39)</f>
        <v>1.96</v>
      </c>
    </row>
    <row r="40" spans="1:9" s="102" customFormat="1" ht="16.5" customHeight="1" x14ac:dyDescent="0.25">
      <c r="A40" s="193" t="str">
        <f>"TOTAL - "&amp;[2]Composição!F56</f>
        <v>TOTAL - Unidade</v>
      </c>
      <c r="B40" s="194"/>
      <c r="C40" s="194"/>
      <c r="D40" s="194"/>
      <c r="E40" s="194"/>
      <c r="F40" s="194"/>
      <c r="G40" s="194"/>
      <c r="H40" s="195"/>
      <c r="I40" s="86">
        <f>SUM(I39)</f>
        <v>1.96</v>
      </c>
    </row>
    <row r="41" spans="1:9" s="102" customFormat="1" ht="16.5" customHeight="1" x14ac:dyDescent="0.25">
      <c r="A41" s="83" t="str">
        <f>'C.P.U.'!A33</f>
        <v>003.2</v>
      </c>
      <c r="B41" s="251" t="str">
        <f>'C.P.U.'!E33</f>
        <v>Corte e dobra de aço CA-50, diâmetro de 10,0 mm (0,617kg/m), utilizado em estrutura diversas (Armadura positiva e negativa em duas direções para radier)</v>
      </c>
      <c r="C41" s="252"/>
      <c r="D41" s="252"/>
      <c r="E41" s="252"/>
      <c r="F41" s="252"/>
      <c r="G41" s="252"/>
      <c r="H41" s="252"/>
      <c r="I41" s="253"/>
    </row>
    <row r="42" spans="1:9" s="102" customFormat="1" ht="25.5" customHeight="1" x14ac:dyDescent="0.25">
      <c r="A42" s="193" t="s">
        <v>12</v>
      </c>
      <c r="B42" s="195"/>
      <c r="C42" s="97" t="s">
        <v>13</v>
      </c>
      <c r="D42" s="97" t="s">
        <v>14</v>
      </c>
      <c r="E42" s="97" t="s">
        <v>15</v>
      </c>
      <c r="F42" s="97" t="s">
        <v>119</v>
      </c>
      <c r="G42" s="97" t="s">
        <v>197</v>
      </c>
      <c r="H42" s="97" t="s">
        <v>198</v>
      </c>
      <c r="I42" s="97" t="s">
        <v>19</v>
      </c>
    </row>
    <row r="43" spans="1:9" s="102" customFormat="1" ht="16.5" customHeight="1" x14ac:dyDescent="0.25">
      <c r="A43" s="172" t="s">
        <v>199</v>
      </c>
      <c r="B43" s="174"/>
      <c r="C43" s="84">
        <v>1.44</v>
      </c>
      <c r="D43" s="84"/>
      <c r="E43" s="84"/>
      <c r="F43" s="84">
        <v>14</v>
      </c>
      <c r="G43" s="84">
        <v>2</v>
      </c>
      <c r="H43" s="87">
        <v>0.61699999999999999</v>
      </c>
      <c r="I43" s="84">
        <f>PRODUCT(C43:H43)</f>
        <v>24.88</v>
      </c>
    </row>
    <row r="44" spans="1:9" s="102" customFormat="1" ht="16.5" customHeight="1" x14ac:dyDescent="0.25">
      <c r="A44" s="172" t="s">
        <v>200</v>
      </c>
      <c r="B44" s="174"/>
      <c r="C44" s="84">
        <v>1.44</v>
      </c>
      <c r="D44" s="84"/>
      <c r="E44" s="84"/>
      <c r="F44" s="84">
        <v>14</v>
      </c>
      <c r="G44" s="84">
        <v>2</v>
      </c>
      <c r="H44" s="87">
        <v>0.61699999999999999</v>
      </c>
      <c r="I44" s="84">
        <f>PRODUCT(C44:H44)</f>
        <v>24.88</v>
      </c>
    </row>
    <row r="45" spans="1:9" s="102" customFormat="1" ht="16.5" customHeight="1" x14ac:dyDescent="0.25">
      <c r="A45" s="193" t="str">
        <f>"TOTAL - "&amp;[2]Composição!F57</f>
        <v>TOTAL - M3</v>
      </c>
      <c r="B45" s="194"/>
      <c r="C45" s="194"/>
      <c r="D45" s="194"/>
      <c r="E45" s="194"/>
      <c r="F45" s="194"/>
      <c r="G45" s="194"/>
      <c r="H45" s="195"/>
      <c r="I45" s="86">
        <f>SUM(I43:I44)</f>
        <v>49.76</v>
      </c>
    </row>
    <row r="46" spans="1:9" s="102" customFormat="1" ht="25.5" customHeight="1" x14ac:dyDescent="0.25">
      <c r="A46" s="83" t="str">
        <f>'C.P.U.'!A35</f>
        <v>003.4</v>
      </c>
      <c r="B46" s="251" t="str">
        <f>'C.P.U.'!E35</f>
        <v>Confecção de tampa em concreto armado, com armadura de ø 10,00 mm em duas direções, para poço de visita, Fck ≥ 35 MPa, inclusive lançamento de concreto, adensamento com vibrador de imersão, acabamento e formas</v>
      </c>
      <c r="C46" s="252"/>
      <c r="D46" s="252"/>
      <c r="E46" s="252"/>
      <c r="F46" s="252"/>
      <c r="G46" s="252"/>
      <c r="H46" s="252"/>
      <c r="I46" s="253"/>
    </row>
    <row r="47" spans="1:9" s="102" customFormat="1" ht="16.5" customHeight="1" x14ac:dyDescent="0.25">
      <c r="A47" s="193" t="s">
        <v>12</v>
      </c>
      <c r="B47" s="195"/>
      <c r="C47" s="97" t="s">
        <v>13</v>
      </c>
      <c r="D47" s="97" t="s">
        <v>14</v>
      </c>
      <c r="E47" s="97" t="s">
        <v>15</v>
      </c>
      <c r="F47" s="97" t="s">
        <v>119</v>
      </c>
      <c r="G47" s="97" t="s">
        <v>195</v>
      </c>
      <c r="H47" s="97" t="s">
        <v>27</v>
      </c>
      <c r="I47" s="97" t="s">
        <v>19</v>
      </c>
    </row>
    <row r="48" spans="1:9" s="102" customFormat="1" ht="16.5" customHeight="1" x14ac:dyDescent="0.25">
      <c r="A48" s="172" t="s">
        <v>201</v>
      </c>
      <c r="B48" s="174"/>
      <c r="C48" s="84">
        <v>1.4</v>
      </c>
      <c r="D48" s="84">
        <v>1.4</v>
      </c>
      <c r="E48" s="84"/>
      <c r="F48" s="84"/>
      <c r="G48" s="84"/>
      <c r="H48" s="85"/>
      <c r="I48" s="84">
        <f>PRODUCT(C48:H48)</f>
        <v>1.96</v>
      </c>
    </row>
    <row r="49" spans="1:19" s="102" customFormat="1" ht="16.5" customHeight="1" x14ac:dyDescent="0.25">
      <c r="A49" s="193" t="str">
        <f>"TOTAL - "&amp;[2]Composição!F59</f>
        <v>TOTAL - H</v>
      </c>
      <c r="B49" s="194"/>
      <c r="C49" s="194"/>
      <c r="D49" s="194"/>
      <c r="E49" s="194"/>
      <c r="F49" s="194"/>
      <c r="G49" s="194"/>
      <c r="H49" s="195"/>
      <c r="I49" s="86">
        <f>SUM(I48)</f>
        <v>1.96</v>
      </c>
    </row>
    <row r="50" spans="1:19" s="102" customFormat="1" ht="16.5" customHeight="1" x14ac:dyDescent="0.25">
      <c r="A50" s="83" t="str">
        <f>'C.P.U.'!A36</f>
        <v>003.5</v>
      </c>
      <c r="B50" s="251" t="str">
        <f>'C.P.U.'!E36</f>
        <v>Corte e dobra de aço CA-50, diâmetro de 10,0 mm (0,617kg/m), utilizado em estrutura diversas (Armadura positiva e negativa em duas direções para tampa de concreto)</v>
      </c>
      <c r="C50" s="252"/>
      <c r="D50" s="252"/>
      <c r="E50" s="252"/>
      <c r="F50" s="252"/>
      <c r="G50" s="252"/>
      <c r="H50" s="252"/>
      <c r="I50" s="253"/>
    </row>
    <row r="51" spans="1:19" s="102" customFormat="1" ht="25.5" customHeight="1" x14ac:dyDescent="0.25">
      <c r="A51" s="193" t="s">
        <v>12</v>
      </c>
      <c r="B51" s="195"/>
      <c r="C51" s="97" t="s">
        <v>13</v>
      </c>
      <c r="D51" s="97" t="s">
        <v>14</v>
      </c>
      <c r="E51" s="97" t="s">
        <v>15</v>
      </c>
      <c r="F51" s="97" t="s">
        <v>119</v>
      </c>
      <c r="G51" s="97" t="s">
        <v>197</v>
      </c>
      <c r="H51" s="97" t="s">
        <v>202</v>
      </c>
      <c r="I51" s="97" t="s">
        <v>19</v>
      </c>
    </row>
    <row r="52" spans="1:19" s="102" customFormat="1" ht="16.5" customHeight="1" x14ac:dyDescent="0.25">
      <c r="A52" s="172" t="s">
        <v>203</v>
      </c>
      <c r="B52" s="174"/>
      <c r="C52" s="84">
        <v>1.44</v>
      </c>
      <c r="D52" s="84"/>
      <c r="E52" s="84"/>
      <c r="F52" s="84">
        <v>14</v>
      </c>
      <c r="G52" s="84">
        <v>2</v>
      </c>
      <c r="H52" s="87">
        <v>0.61699999999999999</v>
      </c>
      <c r="I52" s="84">
        <f>PRODUCT(C52:H52)</f>
        <v>24.88</v>
      </c>
    </row>
    <row r="53" spans="1:19" s="102" customFormat="1" ht="16.5" customHeight="1" x14ac:dyDescent="0.25">
      <c r="A53" s="172" t="s">
        <v>204</v>
      </c>
      <c r="B53" s="174"/>
      <c r="C53" s="84">
        <v>1.44</v>
      </c>
      <c r="D53" s="84"/>
      <c r="E53" s="84"/>
      <c r="F53" s="84">
        <v>14</v>
      </c>
      <c r="G53" s="84">
        <v>2</v>
      </c>
      <c r="H53" s="87">
        <v>0.61699999999999999</v>
      </c>
      <c r="I53" s="84">
        <f>PRODUCT(C53:H53)</f>
        <v>24.88</v>
      </c>
    </row>
    <row r="54" spans="1:19" s="102" customFormat="1" ht="16.5" customHeight="1" x14ac:dyDescent="0.25">
      <c r="A54" s="193" t="str">
        <f>"TOTAL - "&amp;[2]Composição!F60</f>
        <v>TOTAL - H</v>
      </c>
      <c r="B54" s="194"/>
      <c r="C54" s="194"/>
      <c r="D54" s="194"/>
      <c r="E54" s="194"/>
      <c r="F54" s="194"/>
      <c r="G54" s="194"/>
      <c r="H54" s="195"/>
      <c r="I54" s="86">
        <f>SUM(I52:I53)</f>
        <v>49.76</v>
      </c>
    </row>
    <row r="55" spans="1:19" s="102" customFormat="1" ht="25.5" customHeight="1" x14ac:dyDescent="0.25">
      <c r="A55" s="83" t="str">
        <f>'C.P.U.'!A37</f>
        <v>003.6</v>
      </c>
      <c r="B55" s="251" t="str">
        <f>'C.P.U.'!E37</f>
        <v>Reboco, em argamassa traço 1:3 (Em volume de cimento e areia média úmida) para paredes internas, preparo mecânico com betoneira 600 L, aplicado manualmente em faces internas de paredes, espessura de 35 mm.</v>
      </c>
      <c r="C55" s="252"/>
      <c r="D55" s="252"/>
      <c r="E55" s="252"/>
      <c r="F55" s="252"/>
      <c r="G55" s="252"/>
      <c r="H55" s="252"/>
      <c r="I55" s="253"/>
    </row>
    <row r="56" spans="1:19" s="102" customFormat="1" ht="16.5" customHeight="1" x14ac:dyDescent="0.25">
      <c r="A56" s="193" t="s">
        <v>12</v>
      </c>
      <c r="B56" s="195"/>
      <c r="C56" s="97" t="s">
        <v>13</v>
      </c>
      <c r="D56" s="97" t="s">
        <v>14</v>
      </c>
      <c r="E56" s="97" t="s">
        <v>15</v>
      </c>
      <c r="F56" s="97" t="s">
        <v>17</v>
      </c>
      <c r="G56" s="97" t="s">
        <v>205</v>
      </c>
      <c r="H56" s="97" t="s">
        <v>27</v>
      </c>
      <c r="I56" s="97" t="s">
        <v>19</v>
      </c>
    </row>
    <row r="57" spans="1:19" s="102" customFormat="1" ht="16.5" customHeight="1" x14ac:dyDescent="0.25">
      <c r="A57" s="172" t="s">
        <v>206</v>
      </c>
      <c r="B57" s="174"/>
      <c r="C57" s="84"/>
      <c r="D57" s="84">
        <v>1</v>
      </c>
      <c r="E57" s="84">
        <v>1.5</v>
      </c>
      <c r="F57" s="84">
        <v>4</v>
      </c>
      <c r="G57" s="87">
        <v>3.5000000000000003E-2</v>
      </c>
      <c r="H57" s="85"/>
      <c r="I57" s="84">
        <f>PRODUCT(C57:H57)</f>
        <v>0.21</v>
      </c>
    </row>
    <row r="58" spans="1:19" s="102" customFormat="1" ht="16.5" customHeight="1" x14ac:dyDescent="0.25">
      <c r="A58" s="193" t="str">
        <f>"TOTAL - "&amp;[2]Composição!F61</f>
        <v xml:space="preserve">TOTAL - </v>
      </c>
      <c r="B58" s="194"/>
      <c r="C58" s="194"/>
      <c r="D58" s="194"/>
      <c r="E58" s="194"/>
      <c r="F58" s="194"/>
      <c r="G58" s="194"/>
      <c r="H58" s="195"/>
      <c r="I58" s="86">
        <f>SUM(I57)</f>
        <v>0.21</v>
      </c>
    </row>
    <row r="59" spans="1:19" s="102" customFormat="1" ht="16.5" customHeight="1" x14ac:dyDescent="0.25">
      <c r="A59" s="83" t="str">
        <f>'C.P.U.'!A38</f>
        <v>003.7</v>
      </c>
      <c r="B59" s="251" t="str">
        <f>'C.P.U.'!E38</f>
        <v>Armação do sistema de paredes com uso de tela Q-196 (3,11 kg/m2)</v>
      </c>
      <c r="C59" s="252"/>
      <c r="D59" s="252"/>
      <c r="E59" s="252"/>
      <c r="F59" s="252"/>
      <c r="G59" s="252"/>
      <c r="H59" s="252"/>
      <c r="I59" s="253"/>
    </row>
    <row r="60" spans="1:19" s="102" customFormat="1" ht="25.5" customHeight="1" x14ac:dyDescent="0.25">
      <c r="A60" s="193" t="s">
        <v>12</v>
      </c>
      <c r="B60" s="195"/>
      <c r="C60" s="97" t="s">
        <v>13</v>
      </c>
      <c r="D60" s="97" t="s">
        <v>14</v>
      </c>
      <c r="E60" s="97" t="s">
        <v>15</v>
      </c>
      <c r="F60" s="97" t="s">
        <v>119</v>
      </c>
      <c r="G60" s="97" t="s">
        <v>197</v>
      </c>
      <c r="H60" s="97" t="s">
        <v>198</v>
      </c>
      <c r="I60" s="97" t="s">
        <v>19</v>
      </c>
    </row>
    <row r="61" spans="1:19" s="102" customFormat="1" ht="16.5" customHeight="1" x14ac:dyDescent="0.25">
      <c r="A61" s="172" t="s">
        <v>201</v>
      </c>
      <c r="B61" s="174"/>
      <c r="C61" s="84"/>
      <c r="D61" s="84">
        <v>1</v>
      </c>
      <c r="E61" s="84">
        <v>1.5</v>
      </c>
      <c r="F61" s="84"/>
      <c r="G61" s="84">
        <v>4</v>
      </c>
      <c r="H61" s="85">
        <v>3.11</v>
      </c>
      <c r="I61" s="84">
        <f>PRODUCT(C61:H61)</f>
        <v>18.66</v>
      </c>
    </row>
    <row r="62" spans="1:19" s="102" customFormat="1" ht="16.5" customHeight="1" x14ac:dyDescent="0.25">
      <c r="A62" s="193" t="str">
        <f>"TOTAL - "&amp;[2]Composição!F62</f>
        <v xml:space="preserve">TOTAL - </v>
      </c>
      <c r="B62" s="194"/>
      <c r="C62" s="194"/>
      <c r="D62" s="194"/>
      <c r="E62" s="194"/>
      <c r="F62" s="194"/>
      <c r="G62" s="194"/>
      <c r="H62" s="195"/>
      <c r="I62" s="86">
        <f>SUM(I61)</f>
        <v>18.66</v>
      </c>
    </row>
    <row r="63" spans="1:19" ht="25.5" customHeight="1" x14ac:dyDescent="0.25">
      <c r="A63" s="12"/>
      <c r="B63" s="12"/>
      <c r="C63" s="12"/>
      <c r="D63" s="12"/>
      <c r="E63" s="12"/>
      <c r="F63" s="12"/>
      <c r="G63" s="12"/>
      <c r="H63" s="12"/>
      <c r="I63" s="12"/>
      <c r="J63" s="12"/>
      <c r="K63" s="12"/>
      <c r="L63" s="12"/>
      <c r="M63" s="12"/>
      <c r="N63" s="12"/>
      <c r="O63" s="12"/>
      <c r="P63" s="12"/>
      <c r="Q63" s="12"/>
      <c r="R63" s="12"/>
      <c r="S63" s="12"/>
    </row>
    <row r="64" spans="1:19" ht="25.5" customHeight="1" x14ac:dyDescent="0.25">
      <c r="A64" s="12"/>
      <c r="B64" s="12"/>
      <c r="C64" s="12"/>
      <c r="D64" s="12"/>
      <c r="E64" s="12"/>
      <c r="F64" s="12"/>
      <c r="G64" s="12"/>
      <c r="H64" s="12"/>
      <c r="I64" s="12"/>
      <c r="J64" s="12"/>
      <c r="K64" s="12"/>
      <c r="L64" s="12"/>
      <c r="M64" s="12"/>
      <c r="N64" s="12"/>
      <c r="O64" s="12"/>
      <c r="P64" s="12"/>
      <c r="Q64" s="12"/>
      <c r="R64" s="12"/>
      <c r="S64" s="12"/>
    </row>
    <row r="65" spans="1:19" ht="16.5" customHeight="1" x14ac:dyDescent="0.25">
      <c r="A65" s="12"/>
      <c r="B65" s="12"/>
      <c r="C65" s="12"/>
      <c r="D65" s="12"/>
      <c r="E65" s="12"/>
      <c r="F65" s="12"/>
      <c r="G65" s="12"/>
      <c r="H65" s="12"/>
      <c r="I65" s="12"/>
      <c r="J65" s="12"/>
      <c r="K65" s="12"/>
      <c r="L65" s="12"/>
      <c r="M65" s="12"/>
      <c r="N65" s="12"/>
      <c r="O65" s="12"/>
      <c r="P65" s="12"/>
      <c r="Q65" s="12"/>
      <c r="R65" s="12"/>
      <c r="S65" s="12"/>
    </row>
    <row r="66" spans="1:19" ht="16.5" customHeight="1" x14ac:dyDescent="0.25">
      <c r="A66" s="12"/>
      <c r="B66" s="12"/>
      <c r="C66" s="12"/>
      <c r="D66" s="12"/>
      <c r="E66" s="12"/>
      <c r="F66" s="12"/>
      <c r="G66" s="12"/>
      <c r="H66" s="12"/>
      <c r="I66" s="12"/>
      <c r="J66" s="12"/>
      <c r="K66" s="12"/>
      <c r="L66" s="12"/>
      <c r="M66" s="12"/>
      <c r="N66" s="12"/>
      <c r="O66" s="12"/>
      <c r="P66" s="12"/>
      <c r="Q66" s="12"/>
      <c r="R66" s="12"/>
      <c r="S66" s="12"/>
    </row>
    <row r="67" spans="1:19" ht="16.5" customHeight="1" x14ac:dyDescent="0.25">
      <c r="A67" s="12"/>
      <c r="B67" s="12"/>
      <c r="C67" s="12"/>
      <c r="D67" s="12"/>
      <c r="E67" s="12"/>
      <c r="F67" s="12"/>
      <c r="G67" s="12"/>
      <c r="H67" s="12"/>
      <c r="I67" s="12"/>
      <c r="J67" s="12"/>
      <c r="K67" s="12"/>
      <c r="L67" s="12"/>
      <c r="M67" s="12"/>
      <c r="N67" s="12"/>
      <c r="O67" s="12"/>
      <c r="P67" s="12"/>
      <c r="Q67" s="12"/>
      <c r="R67" s="12"/>
      <c r="S67" s="12"/>
    </row>
    <row r="68" spans="1:19" ht="16.5" customHeight="1" x14ac:dyDescent="0.25">
      <c r="A68" s="12"/>
      <c r="B68" s="12"/>
      <c r="C68" s="12"/>
      <c r="D68" s="12"/>
      <c r="E68" s="12"/>
      <c r="F68" s="12"/>
      <c r="G68" s="12"/>
      <c r="H68" s="12"/>
      <c r="I68" s="12"/>
      <c r="J68" s="12"/>
      <c r="K68" s="12"/>
      <c r="L68" s="12"/>
      <c r="M68" s="12"/>
      <c r="N68" s="12"/>
      <c r="O68" s="12"/>
      <c r="P68" s="12"/>
      <c r="Q68" s="12"/>
      <c r="R68" s="12"/>
      <c r="S68" s="12"/>
    </row>
    <row r="69" spans="1:19" ht="25.5" customHeight="1" x14ac:dyDescent="0.25">
      <c r="A69" s="12"/>
      <c r="B69" s="12"/>
      <c r="C69" s="12"/>
      <c r="D69" s="12"/>
      <c r="E69" s="12"/>
      <c r="F69" s="12"/>
      <c r="G69" s="12"/>
      <c r="H69" s="12"/>
      <c r="I69" s="12"/>
      <c r="J69" s="12"/>
      <c r="K69" s="12"/>
      <c r="L69" s="12"/>
      <c r="M69" s="12"/>
      <c r="N69" s="12"/>
      <c r="O69" s="12"/>
      <c r="P69" s="12"/>
      <c r="Q69" s="12"/>
      <c r="R69" s="12"/>
      <c r="S69" s="12"/>
    </row>
    <row r="70" spans="1:19" ht="16.5" customHeight="1" x14ac:dyDescent="0.25">
      <c r="A70" s="12"/>
      <c r="B70" s="12"/>
      <c r="C70" s="12"/>
      <c r="D70" s="12"/>
      <c r="E70" s="12"/>
      <c r="F70" s="12"/>
      <c r="G70" s="12"/>
      <c r="H70" s="12"/>
      <c r="I70" s="12"/>
      <c r="J70" s="12"/>
      <c r="K70" s="12"/>
      <c r="L70" s="12"/>
      <c r="M70" s="12"/>
      <c r="N70" s="12"/>
      <c r="O70" s="12"/>
      <c r="P70" s="12"/>
      <c r="Q70" s="12"/>
      <c r="R70" s="12"/>
      <c r="S70" s="12"/>
    </row>
    <row r="71" spans="1:19" ht="16.5" customHeight="1" x14ac:dyDescent="0.25">
      <c r="A71" s="12"/>
      <c r="B71" s="12"/>
      <c r="C71" s="12"/>
      <c r="D71" s="12"/>
      <c r="E71" s="12"/>
      <c r="F71" s="12"/>
      <c r="G71" s="12"/>
      <c r="H71" s="12"/>
      <c r="I71" s="12"/>
      <c r="J71" s="12"/>
      <c r="K71" s="12"/>
      <c r="L71" s="12"/>
      <c r="M71" s="12"/>
      <c r="N71" s="12"/>
      <c r="O71" s="12"/>
      <c r="P71" s="12"/>
      <c r="Q71" s="12"/>
      <c r="R71" s="12"/>
      <c r="S71" s="12"/>
    </row>
    <row r="72" spans="1:19" ht="16.5" customHeight="1" x14ac:dyDescent="0.25">
      <c r="A72" s="12"/>
      <c r="B72" s="12"/>
      <c r="C72" s="12"/>
      <c r="D72" s="12"/>
      <c r="E72" s="12"/>
      <c r="F72" s="12"/>
      <c r="G72" s="12"/>
      <c r="H72" s="12"/>
      <c r="I72" s="12"/>
      <c r="J72" s="12"/>
      <c r="K72" s="12"/>
      <c r="L72" s="12"/>
      <c r="M72" s="12"/>
      <c r="N72" s="12"/>
      <c r="O72" s="12"/>
      <c r="P72" s="12"/>
      <c r="Q72" s="12"/>
      <c r="R72" s="12"/>
      <c r="S72" s="12"/>
    </row>
    <row r="73" spans="1:19" ht="25.5" customHeight="1" x14ac:dyDescent="0.25">
      <c r="A73" s="12"/>
      <c r="B73" s="12"/>
      <c r="C73" s="12"/>
      <c r="D73" s="12"/>
      <c r="E73" s="12"/>
      <c r="F73" s="12"/>
      <c r="G73" s="12"/>
      <c r="H73" s="12"/>
      <c r="I73" s="12"/>
      <c r="J73" s="12"/>
      <c r="K73" s="12"/>
      <c r="L73" s="12"/>
      <c r="M73" s="12"/>
      <c r="N73" s="12"/>
      <c r="O73" s="12"/>
      <c r="P73" s="12"/>
      <c r="Q73" s="12"/>
      <c r="R73" s="12"/>
      <c r="S73" s="12"/>
    </row>
    <row r="74" spans="1:19" ht="16.5" customHeight="1" x14ac:dyDescent="0.25">
      <c r="A74" s="12"/>
      <c r="B74" s="12"/>
      <c r="C74" s="12"/>
      <c r="D74" s="12"/>
      <c r="E74" s="12"/>
      <c r="F74" s="12"/>
      <c r="G74" s="12"/>
      <c r="H74" s="12"/>
      <c r="I74" s="12"/>
      <c r="J74" s="12"/>
      <c r="K74" s="12"/>
      <c r="L74" s="12"/>
      <c r="M74" s="12"/>
      <c r="N74" s="12"/>
      <c r="O74" s="12"/>
      <c r="P74" s="12"/>
      <c r="Q74" s="12"/>
      <c r="R74" s="12"/>
      <c r="S74" s="12"/>
    </row>
    <row r="75" spans="1:19" ht="16.5" customHeight="1" x14ac:dyDescent="0.25">
      <c r="A75" s="12"/>
      <c r="B75" s="12"/>
      <c r="C75" s="12"/>
      <c r="D75" s="12"/>
      <c r="E75" s="12"/>
      <c r="F75" s="12"/>
      <c r="G75" s="12"/>
      <c r="H75" s="12"/>
      <c r="I75" s="12"/>
      <c r="J75" s="12"/>
      <c r="K75" s="12"/>
      <c r="L75" s="12"/>
      <c r="M75" s="12"/>
      <c r="N75" s="12"/>
      <c r="O75" s="12"/>
      <c r="P75" s="12"/>
      <c r="Q75" s="12"/>
      <c r="R75" s="12"/>
      <c r="S75" s="12"/>
    </row>
    <row r="76" spans="1:19" ht="16.5" customHeight="1" x14ac:dyDescent="0.25">
      <c r="A76" s="12"/>
      <c r="B76" s="12"/>
      <c r="C76" s="12"/>
      <c r="D76" s="12"/>
      <c r="E76" s="12"/>
      <c r="F76" s="12"/>
      <c r="G76" s="12"/>
      <c r="H76" s="12"/>
      <c r="I76" s="12"/>
      <c r="J76" s="12"/>
      <c r="K76" s="12"/>
      <c r="L76" s="12"/>
      <c r="M76" s="12"/>
      <c r="N76" s="12"/>
      <c r="O76" s="12"/>
      <c r="P76" s="12"/>
      <c r="Q76" s="12"/>
      <c r="R76" s="12"/>
      <c r="S76" s="12"/>
    </row>
    <row r="77" spans="1:19" ht="16.5" customHeight="1" x14ac:dyDescent="0.25">
      <c r="A77" s="12"/>
      <c r="B77" s="12"/>
      <c r="C77" s="12"/>
      <c r="D77" s="12"/>
      <c r="E77" s="12"/>
      <c r="F77" s="12"/>
      <c r="G77" s="12"/>
      <c r="H77" s="12"/>
      <c r="I77" s="12"/>
      <c r="J77" s="12"/>
      <c r="K77" s="12"/>
      <c r="L77" s="12"/>
      <c r="M77" s="12"/>
      <c r="N77" s="12"/>
      <c r="O77" s="12"/>
      <c r="P77" s="12"/>
      <c r="Q77" s="12"/>
      <c r="R77" s="12"/>
      <c r="S77" s="12"/>
    </row>
  </sheetData>
  <mergeCells count="63">
    <mergeCell ref="A34:B34"/>
    <mergeCell ref="A35:H35"/>
    <mergeCell ref="A29:B29"/>
    <mergeCell ref="A30:B30"/>
    <mergeCell ref="A31:H31"/>
    <mergeCell ref="B32:I32"/>
    <mergeCell ref="A33:B33"/>
    <mergeCell ref="B19:I19"/>
    <mergeCell ref="A20:B20"/>
    <mergeCell ref="A21:B21"/>
    <mergeCell ref="A22:H22"/>
    <mergeCell ref="B23:I23"/>
    <mergeCell ref="A24:B24"/>
    <mergeCell ref="A25:B25"/>
    <mergeCell ref="A26:B26"/>
    <mergeCell ref="A27:H27"/>
    <mergeCell ref="B28:I28"/>
    <mergeCell ref="B9:I9"/>
    <mergeCell ref="B10:I10"/>
    <mergeCell ref="A11:B11"/>
    <mergeCell ref="A12:B12"/>
    <mergeCell ref="A13:H13"/>
    <mergeCell ref="B36:I36"/>
    <mergeCell ref="B37:I37"/>
    <mergeCell ref="A8:I8"/>
    <mergeCell ref="A1:I3"/>
    <mergeCell ref="A4:I4"/>
    <mergeCell ref="A5:I5"/>
    <mergeCell ref="A6:A7"/>
    <mergeCell ref="B6:F7"/>
    <mergeCell ref="G6:G7"/>
    <mergeCell ref="H6:H7"/>
    <mergeCell ref="I6:I7"/>
    <mergeCell ref="B14:I14"/>
    <mergeCell ref="A15:B15"/>
    <mergeCell ref="A16:B16"/>
    <mergeCell ref="A17:B17"/>
    <mergeCell ref="A18:H18"/>
    <mergeCell ref="A57:B57"/>
    <mergeCell ref="A58:H58"/>
    <mergeCell ref="B59:I59"/>
    <mergeCell ref="A60:B60"/>
    <mergeCell ref="A51:B51"/>
    <mergeCell ref="A52:B52"/>
    <mergeCell ref="A53:B53"/>
    <mergeCell ref="A54:H54"/>
    <mergeCell ref="B55:I55"/>
    <mergeCell ref="A61:B61"/>
    <mergeCell ref="A62:H62"/>
    <mergeCell ref="A38:B38"/>
    <mergeCell ref="A39:B39"/>
    <mergeCell ref="A40:H40"/>
    <mergeCell ref="A45:H45"/>
    <mergeCell ref="A42:B42"/>
    <mergeCell ref="A43:B43"/>
    <mergeCell ref="B41:I41"/>
    <mergeCell ref="A44:B44"/>
    <mergeCell ref="B46:I46"/>
    <mergeCell ref="A47:B47"/>
    <mergeCell ref="A48:B48"/>
    <mergeCell ref="A49:H49"/>
    <mergeCell ref="B50:I50"/>
    <mergeCell ref="A56:B56"/>
  </mergeCells>
  <pageMargins left="0.511811024" right="0.511811024" top="0.78740157499999996" bottom="0.78740157499999996" header="0.31496062000000002" footer="0.31496062000000002"/>
  <pageSetup paperSize="9" scale="61" fitToHeight="0" orientation="landscape" verticalDpi="0" r:id="rId1"/>
  <rowBreaks count="1" manualBreakCount="1">
    <brk id="4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view="pageBreakPreview" zoomScaleNormal="100" zoomScaleSheetLayoutView="100" workbookViewId="0">
      <selection activeCell="B6" sqref="B6:I7"/>
    </sheetView>
  </sheetViews>
  <sheetFormatPr defaultRowHeight="16.5" customHeight="1" x14ac:dyDescent="0.25"/>
  <cols>
    <col min="1" max="1" width="14.7109375" style="102" customWidth="1"/>
    <col min="2" max="2" width="31.5703125" style="102" customWidth="1"/>
    <col min="3" max="10" width="14.7109375" style="102" customWidth="1"/>
    <col min="11" max="11" width="18" style="102" customWidth="1"/>
    <col min="12" max="12" width="18.140625" style="102" customWidth="1"/>
    <col min="13" max="13" width="14.28515625" style="102" customWidth="1"/>
    <col min="14" max="256" width="9.140625" style="102"/>
    <col min="257" max="257" width="14.7109375" style="102" customWidth="1"/>
    <col min="258" max="258" width="31.5703125" style="102" customWidth="1"/>
    <col min="259" max="266" width="14.7109375" style="102" customWidth="1"/>
    <col min="267" max="267" width="18" style="102" customWidth="1"/>
    <col min="268" max="268" width="18.140625" style="102" customWidth="1"/>
    <col min="269" max="269" width="14.28515625" style="102" customWidth="1"/>
    <col min="270" max="512" width="9.140625" style="102"/>
    <col min="513" max="513" width="14.7109375" style="102" customWidth="1"/>
    <col min="514" max="514" width="31.5703125" style="102" customWidth="1"/>
    <col min="515" max="522" width="14.7109375" style="102" customWidth="1"/>
    <col min="523" max="523" width="18" style="102" customWidth="1"/>
    <col min="524" max="524" width="18.140625" style="102" customWidth="1"/>
    <col min="525" max="525" width="14.28515625" style="102" customWidth="1"/>
    <col min="526" max="768" width="9.140625" style="102"/>
    <col min="769" max="769" width="14.7109375" style="102" customWidth="1"/>
    <col min="770" max="770" width="31.5703125" style="102" customWidth="1"/>
    <col min="771" max="778" width="14.7109375" style="102" customWidth="1"/>
    <col min="779" max="779" width="18" style="102" customWidth="1"/>
    <col min="780" max="780" width="18.140625" style="102" customWidth="1"/>
    <col min="781" max="781" width="14.28515625" style="102" customWidth="1"/>
    <col min="782" max="1024" width="9.140625" style="102"/>
    <col min="1025" max="1025" width="14.7109375" style="102" customWidth="1"/>
    <col min="1026" max="1026" width="31.5703125" style="102" customWidth="1"/>
    <col min="1027" max="1034" width="14.7109375" style="102" customWidth="1"/>
    <col min="1035" max="1035" width="18" style="102" customWidth="1"/>
    <col min="1036" max="1036" width="18.140625" style="102" customWidth="1"/>
    <col min="1037" max="1037" width="14.28515625" style="102" customWidth="1"/>
    <col min="1038" max="1280" width="9.140625" style="102"/>
    <col min="1281" max="1281" width="14.7109375" style="102" customWidth="1"/>
    <col min="1282" max="1282" width="31.5703125" style="102" customWidth="1"/>
    <col min="1283" max="1290" width="14.7109375" style="102" customWidth="1"/>
    <col min="1291" max="1291" width="18" style="102" customWidth="1"/>
    <col min="1292" max="1292" width="18.140625" style="102" customWidth="1"/>
    <col min="1293" max="1293" width="14.28515625" style="102" customWidth="1"/>
    <col min="1294" max="1536" width="9.140625" style="102"/>
    <col min="1537" max="1537" width="14.7109375" style="102" customWidth="1"/>
    <col min="1538" max="1538" width="31.5703125" style="102" customWidth="1"/>
    <col min="1539" max="1546" width="14.7109375" style="102" customWidth="1"/>
    <col min="1547" max="1547" width="18" style="102" customWidth="1"/>
    <col min="1548" max="1548" width="18.140625" style="102" customWidth="1"/>
    <col min="1549" max="1549" width="14.28515625" style="102" customWidth="1"/>
    <col min="1550" max="1792" width="9.140625" style="102"/>
    <col min="1793" max="1793" width="14.7109375" style="102" customWidth="1"/>
    <col min="1794" max="1794" width="31.5703125" style="102" customWidth="1"/>
    <col min="1795" max="1802" width="14.7109375" style="102" customWidth="1"/>
    <col min="1803" max="1803" width="18" style="102" customWidth="1"/>
    <col min="1804" max="1804" width="18.140625" style="102" customWidth="1"/>
    <col min="1805" max="1805" width="14.28515625" style="102" customWidth="1"/>
    <col min="1806" max="2048" width="9.140625" style="102"/>
    <col min="2049" max="2049" width="14.7109375" style="102" customWidth="1"/>
    <col min="2050" max="2050" width="31.5703125" style="102" customWidth="1"/>
    <col min="2051" max="2058" width="14.7109375" style="102" customWidth="1"/>
    <col min="2059" max="2059" width="18" style="102" customWidth="1"/>
    <col min="2060" max="2060" width="18.140625" style="102" customWidth="1"/>
    <col min="2061" max="2061" width="14.28515625" style="102" customWidth="1"/>
    <col min="2062" max="2304" width="9.140625" style="102"/>
    <col min="2305" max="2305" width="14.7109375" style="102" customWidth="1"/>
    <col min="2306" max="2306" width="31.5703125" style="102" customWidth="1"/>
    <col min="2307" max="2314" width="14.7109375" style="102" customWidth="1"/>
    <col min="2315" max="2315" width="18" style="102" customWidth="1"/>
    <col min="2316" max="2316" width="18.140625" style="102" customWidth="1"/>
    <col min="2317" max="2317" width="14.28515625" style="102" customWidth="1"/>
    <col min="2318" max="2560" width="9.140625" style="102"/>
    <col min="2561" max="2561" width="14.7109375" style="102" customWidth="1"/>
    <col min="2562" max="2562" width="31.5703125" style="102" customWidth="1"/>
    <col min="2563" max="2570" width="14.7109375" style="102" customWidth="1"/>
    <col min="2571" max="2571" width="18" style="102" customWidth="1"/>
    <col min="2572" max="2572" width="18.140625" style="102" customWidth="1"/>
    <col min="2573" max="2573" width="14.28515625" style="102" customWidth="1"/>
    <col min="2574" max="2816" width="9.140625" style="102"/>
    <col min="2817" max="2817" width="14.7109375" style="102" customWidth="1"/>
    <col min="2818" max="2818" width="31.5703125" style="102" customWidth="1"/>
    <col min="2819" max="2826" width="14.7109375" style="102" customWidth="1"/>
    <col min="2827" max="2827" width="18" style="102" customWidth="1"/>
    <col min="2828" max="2828" width="18.140625" style="102" customWidth="1"/>
    <col min="2829" max="2829" width="14.28515625" style="102" customWidth="1"/>
    <col min="2830" max="3072" width="9.140625" style="102"/>
    <col min="3073" max="3073" width="14.7109375" style="102" customWidth="1"/>
    <col min="3074" max="3074" width="31.5703125" style="102" customWidth="1"/>
    <col min="3075" max="3082" width="14.7109375" style="102" customWidth="1"/>
    <col min="3083" max="3083" width="18" style="102" customWidth="1"/>
    <col min="3084" max="3084" width="18.140625" style="102" customWidth="1"/>
    <col min="3085" max="3085" width="14.28515625" style="102" customWidth="1"/>
    <col min="3086" max="3328" width="9.140625" style="102"/>
    <col min="3329" max="3329" width="14.7109375" style="102" customWidth="1"/>
    <col min="3330" max="3330" width="31.5703125" style="102" customWidth="1"/>
    <col min="3331" max="3338" width="14.7109375" style="102" customWidth="1"/>
    <col min="3339" max="3339" width="18" style="102" customWidth="1"/>
    <col min="3340" max="3340" width="18.140625" style="102" customWidth="1"/>
    <col min="3341" max="3341" width="14.28515625" style="102" customWidth="1"/>
    <col min="3342" max="3584" width="9.140625" style="102"/>
    <col min="3585" max="3585" width="14.7109375" style="102" customWidth="1"/>
    <col min="3586" max="3586" width="31.5703125" style="102" customWidth="1"/>
    <col min="3587" max="3594" width="14.7109375" style="102" customWidth="1"/>
    <col min="3595" max="3595" width="18" style="102" customWidth="1"/>
    <col min="3596" max="3596" width="18.140625" style="102" customWidth="1"/>
    <col min="3597" max="3597" width="14.28515625" style="102" customWidth="1"/>
    <col min="3598" max="3840" width="9.140625" style="102"/>
    <col min="3841" max="3841" width="14.7109375" style="102" customWidth="1"/>
    <col min="3842" max="3842" width="31.5703125" style="102" customWidth="1"/>
    <col min="3843" max="3850" width="14.7109375" style="102" customWidth="1"/>
    <col min="3851" max="3851" width="18" style="102" customWidth="1"/>
    <col min="3852" max="3852" width="18.140625" style="102" customWidth="1"/>
    <col min="3853" max="3853" width="14.28515625" style="102" customWidth="1"/>
    <col min="3854" max="4096" width="9.140625" style="102"/>
    <col min="4097" max="4097" width="14.7109375" style="102" customWidth="1"/>
    <col min="4098" max="4098" width="31.5703125" style="102" customWidth="1"/>
    <col min="4099" max="4106" width="14.7109375" style="102" customWidth="1"/>
    <col min="4107" max="4107" width="18" style="102" customWidth="1"/>
    <col min="4108" max="4108" width="18.140625" style="102" customWidth="1"/>
    <col min="4109" max="4109" width="14.28515625" style="102" customWidth="1"/>
    <col min="4110" max="4352" width="9.140625" style="102"/>
    <col min="4353" max="4353" width="14.7109375" style="102" customWidth="1"/>
    <col min="4354" max="4354" width="31.5703125" style="102" customWidth="1"/>
    <col min="4355" max="4362" width="14.7109375" style="102" customWidth="1"/>
    <col min="4363" max="4363" width="18" style="102" customWidth="1"/>
    <col min="4364" max="4364" width="18.140625" style="102" customWidth="1"/>
    <col min="4365" max="4365" width="14.28515625" style="102" customWidth="1"/>
    <col min="4366" max="4608" width="9.140625" style="102"/>
    <col min="4609" max="4609" width="14.7109375" style="102" customWidth="1"/>
    <col min="4610" max="4610" width="31.5703125" style="102" customWidth="1"/>
    <col min="4611" max="4618" width="14.7109375" style="102" customWidth="1"/>
    <col min="4619" max="4619" width="18" style="102" customWidth="1"/>
    <col min="4620" max="4620" width="18.140625" style="102" customWidth="1"/>
    <col min="4621" max="4621" width="14.28515625" style="102" customWidth="1"/>
    <col min="4622" max="4864" width="9.140625" style="102"/>
    <col min="4865" max="4865" width="14.7109375" style="102" customWidth="1"/>
    <col min="4866" max="4866" width="31.5703125" style="102" customWidth="1"/>
    <col min="4867" max="4874" width="14.7109375" style="102" customWidth="1"/>
    <col min="4875" max="4875" width="18" style="102" customWidth="1"/>
    <col min="4876" max="4876" width="18.140625" style="102" customWidth="1"/>
    <col min="4877" max="4877" width="14.28515625" style="102" customWidth="1"/>
    <col min="4878" max="5120" width="9.140625" style="102"/>
    <col min="5121" max="5121" width="14.7109375" style="102" customWidth="1"/>
    <col min="5122" max="5122" width="31.5703125" style="102" customWidth="1"/>
    <col min="5123" max="5130" width="14.7109375" style="102" customWidth="1"/>
    <col min="5131" max="5131" width="18" style="102" customWidth="1"/>
    <col min="5132" max="5132" width="18.140625" style="102" customWidth="1"/>
    <col min="5133" max="5133" width="14.28515625" style="102" customWidth="1"/>
    <col min="5134" max="5376" width="9.140625" style="102"/>
    <col min="5377" max="5377" width="14.7109375" style="102" customWidth="1"/>
    <col min="5378" max="5378" width="31.5703125" style="102" customWidth="1"/>
    <col min="5379" max="5386" width="14.7109375" style="102" customWidth="1"/>
    <col min="5387" max="5387" width="18" style="102" customWidth="1"/>
    <col min="5388" max="5388" width="18.140625" style="102" customWidth="1"/>
    <col min="5389" max="5389" width="14.28515625" style="102" customWidth="1"/>
    <col min="5390" max="5632" width="9.140625" style="102"/>
    <col min="5633" max="5633" width="14.7109375" style="102" customWidth="1"/>
    <col min="5634" max="5634" width="31.5703125" style="102" customWidth="1"/>
    <col min="5635" max="5642" width="14.7109375" style="102" customWidth="1"/>
    <col min="5643" max="5643" width="18" style="102" customWidth="1"/>
    <col min="5644" max="5644" width="18.140625" style="102" customWidth="1"/>
    <col min="5645" max="5645" width="14.28515625" style="102" customWidth="1"/>
    <col min="5646" max="5888" width="9.140625" style="102"/>
    <col min="5889" max="5889" width="14.7109375" style="102" customWidth="1"/>
    <col min="5890" max="5890" width="31.5703125" style="102" customWidth="1"/>
    <col min="5891" max="5898" width="14.7109375" style="102" customWidth="1"/>
    <col min="5899" max="5899" width="18" style="102" customWidth="1"/>
    <col min="5900" max="5900" width="18.140625" style="102" customWidth="1"/>
    <col min="5901" max="5901" width="14.28515625" style="102" customWidth="1"/>
    <col min="5902" max="6144" width="9.140625" style="102"/>
    <col min="6145" max="6145" width="14.7109375" style="102" customWidth="1"/>
    <col min="6146" max="6146" width="31.5703125" style="102" customWidth="1"/>
    <col min="6147" max="6154" width="14.7109375" style="102" customWidth="1"/>
    <col min="6155" max="6155" width="18" style="102" customWidth="1"/>
    <col min="6156" max="6156" width="18.140625" style="102" customWidth="1"/>
    <col min="6157" max="6157" width="14.28515625" style="102" customWidth="1"/>
    <col min="6158" max="6400" width="9.140625" style="102"/>
    <col min="6401" max="6401" width="14.7109375" style="102" customWidth="1"/>
    <col min="6402" max="6402" width="31.5703125" style="102" customWidth="1"/>
    <col min="6403" max="6410" width="14.7109375" style="102" customWidth="1"/>
    <col min="6411" max="6411" width="18" style="102" customWidth="1"/>
    <col min="6412" max="6412" width="18.140625" style="102" customWidth="1"/>
    <col min="6413" max="6413" width="14.28515625" style="102" customWidth="1"/>
    <col min="6414" max="6656" width="9.140625" style="102"/>
    <col min="6657" max="6657" width="14.7109375" style="102" customWidth="1"/>
    <col min="6658" max="6658" width="31.5703125" style="102" customWidth="1"/>
    <col min="6659" max="6666" width="14.7109375" style="102" customWidth="1"/>
    <col min="6667" max="6667" width="18" style="102" customWidth="1"/>
    <col min="6668" max="6668" width="18.140625" style="102" customWidth="1"/>
    <col min="6669" max="6669" width="14.28515625" style="102" customWidth="1"/>
    <col min="6670" max="6912" width="9.140625" style="102"/>
    <col min="6913" max="6913" width="14.7109375" style="102" customWidth="1"/>
    <col min="6914" max="6914" width="31.5703125" style="102" customWidth="1"/>
    <col min="6915" max="6922" width="14.7109375" style="102" customWidth="1"/>
    <col min="6923" max="6923" width="18" style="102" customWidth="1"/>
    <col min="6924" max="6924" width="18.140625" style="102" customWidth="1"/>
    <col min="6925" max="6925" width="14.28515625" style="102" customWidth="1"/>
    <col min="6926" max="7168" width="9.140625" style="102"/>
    <col min="7169" max="7169" width="14.7109375" style="102" customWidth="1"/>
    <col min="7170" max="7170" width="31.5703125" style="102" customWidth="1"/>
    <col min="7171" max="7178" width="14.7109375" style="102" customWidth="1"/>
    <col min="7179" max="7179" width="18" style="102" customWidth="1"/>
    <col min="7180" max="7180" width="18.140625" style="102" customWidth="1"/>
    <col min="7181" max="7181" width="14.28515625" style="102" customWidth="1"/>
    <col min="7182" max="7424" width="9.140625" style="102"/>
    <col min="7425" max="7425" width="14.7109375" style="102" customWidth="1"/>
    <col min="7426" max="7426" width="31.5703125" style="102" customWidth="1"/>
    <col min="7427" max="7434" width="14.7109375" style="102" customWidth="1"/>
    <col min="7435" max="7435" width="18" style="102" customWidth="1"/>
    <col min="7436" max="7436" width="18.140625" style="102" customWidth="1"/>
    <col min="7437" max="7437" width="14.28515625" style="102" customWidth="1"/>
    <col min="7438" max="7680" width="9.140625" style="102"/>
    <col min="7681" max="7681" width="14.7109375" style="102" customWidth="1"/>
    <col min="7682" max="7682" width="31.5703125" style="102" customWidth="1"/>
    <col min="7683" max="7690" width="14.7109375" style="102" customWidth="1"/>
    <col min="7691" max="7691" width="18" style="102" customWidth="1"/>
    <col min="7692" max="7692" width="18.140625" style="102" customWidth="1"/>
    <col min="7693" max="7693" width="14.28515625" style="102" customWidth="1"/>
    <col min="7694" max="7936" width="9.140625" style="102"/>
    <col min="7937" max="7937" width="14.7109375" style="102" customWidth="1"/>
    <col min="7938" max="7938" width="31.5703125" style="102" customWidth="1"/>
    <col min="7939" max="7946" width="14.7109375" style="102" customWidth="1"/>
    <col min="7947" max="7947" width="18" style="102" customWidth="1"/>
    <col min="7948" max="7948" width="18.140625" style="102" customWidth="1"/>
    <col min="7949" max="7949" width="14.28515625" style="102" customWidth="1"/>
    <col min="7950" max="8192" width="9.140625" style="102"/>
    <col min="8193" max="8193" width="14.7109375" style="102" customWidth="1"/>
    <col min="8194" max="8194" width="31.5703125" style="102" customWidth="1"/>
    <col min="8195" max="8202" width="14.7109375" style="102" customWidth="1"/>
    <col min="8203" max="8203" width="18" style="102" customWidth="1"/>
    <col min="8204" max="8204" width="18.140625" style="102" customWidth="1"/>
    <col min="8205" max="8205" width="14.28515625" style="102" customWidth="1"/>
    <col min="8206" max="8448" width="9.140625" style="102"/>
    <col min="8449" max="8449" width="14.7109375" style="102" customWidth="1"/>
    <col min="8450" max="8450" width="31.5703125" style="102" customWidth="1"/>
    <col min="8451" max="8458" width="14.7109375" style="102" customWidth="1"/>
    <col min="8459" max="8459" width="18" style="102" customWidth="1"/>
    <col min="8460" max="8460" width="18.140625" style="102" customWidth="1"/>
    <col min="8461" max="8461" width="14.28515625" style="102" customWidth="1"/>
    <col min="8462" max="8704" width="9.140625" style="102"/>
    <col min="8705" max="8705" width="14.7109375" style="102" customWidth="1"/>
    <col min="8706" max="8706" width="31.5703125" style="102" customWidth="1"/>
    <col min="8707" max="8714" width="14.7109375" style="102" customWidth="1"/>
    <col min="8715" max="8715" width="18" style="102" customWidth="1"/>
    <col min="8716" max="8716" width="18.140625" style="102" customWidth="1"/>
    <col min="8717" max="8717" width="14.28515625" style="102" customWidth="1"/>
    <col min="8718" max="8960" width="9.140625" style="102"/>
    <col min="8961" max="8961" width="14.7109375" style="102" customWidth="1"/>
    <col min="8962" max="8962" width="31.5703125" style="102" customWidth="1"/>
    <col min="8963" max="8970" width="14.7109375" style="102" customWidth="1"/>
    <col min="8971" max="8971" width="18" style="102" customWidth="1"/>
    <col min="8972" max="8972" width="18.140625" style="102" customWidth="1"/>
    <col min="8973" max="8973" width="14.28515625" style="102" customWidth="1"/>
    <col min="8974" max="9216" width="9.140625" style="102"/>
    <col min="9217" max="9217" width="14.7109375" style="102" customWidth="1"/>
    <col min="9218" max="9218" width="31.5703125" style="102" customWidth="1"/>
    <col min="9219" max="9226" width="14.7109375" style="102" customWidth="1"/>
    <col min="9227" max="9227" width="18" style="102" customWidth="1"/>
    <col min="9228" max="9228" width="18.140625" style="102" customWidth="1"/>
    <col min="9229" max="9229" width="14.28515625" style="102" customWidth="1"/>
    <col min="9230" max="9472" width="9.140625" style="102"/>
    <col min="9473" max="9473" width="14.7109375" style="102" customWidth="1"/>
    <col min="9474" max="9474" width="31.5703125" style="102" customWidth="1"/>
    <col min="9475" max="9482" width="14.7109375" style="102" customWidth="1"/>
    <col min="9483" max="9483" width="18" style="102" customWidth="1"/>
    <col min="9484" max="9484" width="18.140625" style="102" customWidth="1"/>
    <col min="9485" max="9485" width="14.28515625" style="102" customWidth="1"/>
    <col min="9486" max="9728" width="9.140625" style="102"/>
    <col min="9729" max="9729" width="14.7109375" style="102" customWidth="1"/>
    <col min="9730" max="9730" width="31.5703125" style="102" customWidth="1"/>
    <col min="9731" max="9738" width="14.7109375" style="102" customWidth="1"/>
    <col min="9739" max="9739" width="18" style="102" customWidth="1"/>
    <col min="9740" max="9740" width="18.140625" style="102" customWidth="1"/>
    <col min="9741" max="9741" width="14.28515625" style="102" customWidth="1"/>
    <col min="9742" max="9984" width="9.140625" style="102"/>
    <col min="9985" max="9985" width="14.7109375" style="102" customWidth="1"/>
    <col min="9986" max="9986" width="31.5703125" style="102" customWidth="1"/>
    <col min="9987" max="9994" width="14.7109375" style="102" customWidth="1"/>
    <col min="9995" max="9995" width="18" style="102" customWidth="1"/>
    <col min="9996" max="9996" width="18.140625" style="102" customWidth="1"/>
    <col min="9997" max="9997" width="14.28515625" style="102" customWidth="1"/>
    <col min="9998" max="10240" width="9.140625" style="102"/>
    <col min="10241" max="10241" width="14.7109375" style="102" customWidth="1"/>
    <col min="10242" max="10242" width="31.5703125" style="102" customWidth="1"/>
    <col min="10243" max="10250" width="14.7109375" style="102" customWidth="1"/>
    <col min="10251" max="10251" width="18" style="102" customWidth="1"/>
    <col min="10252" max="10252" width="18.140625" style="102" customWidth="1"/>
    <col min="10253" max="10253" width="14.28515625" style="102" customWidth="1"/>
    <col min="10254" max="10496" width="9.140625" style="102"/>
    <col min="10497" max="10497" width="14.7109375" style="102" customWidth="1"/>
    <col min="10498" max="10498" width="31.5703125" style="102" customWidth="1"/>
    <col min="10499" max="10506" width="14.7109375" style="102" customWidth="1"/>
    <col min="10507" max="10507" width="18" style="102" customWidth="1"/>
    <col min="10508" max="10508" width="18.140625" style="102" customWidth="1"/>
    <col min="10509" max="10509" width="14.28515625" style="102" customWidth="1"/>
    <col min="10510" max="10752" width="9.140625" style="102"/>
    <col min="10753" max="10753" width="14.7109375" style="102" customWidth="1"/>
    <col min="10754" max="10754" width="31.5703125" style="102" customWidth="1"/>
    <col min="10755" max="10762" width="14.7109375" style="102" customWidth="1"/>
    <col min="10763" max="10763" width="18" style="102" customWidth="1"/>
    <col min="10764" max="10764" width="18.140625" style="102" customWidth="1"/>
    <col min="10765" max="10765" width="14.28515625" style="102" customWidth="1"/>
    <col min="10766" max="11008" width="9.140625" style="102"/>
    <col min="11009" max="11009" width="14.7109375" style="102" customWidth="1"/>
    <col min="11010" max="11010" width="31.5703125" style="102" customWidth="1"/>
    <col min="11011" max="11018" width="14.7109375" style="102" customWidth="1"/>
    <col min="11019" max="11019" width="18" style="102" customWidth="1"/>
    <col min="11020" max="11020" width="18.140625" style="102" customWidth="1"/>
    <col min="11021" max="11021" width="14.28515625" style="102" customWidth="1"/>
    <col min="11022" max="11264" width="9.140625" style="102"/>
    <col min="11265" max="11265" width="14.7109375" style="102" customWidth="1"/>
    <col min="11266" max="11266" width="31.5703125" style="102" customWidth="1"/>
    <col min="11267" max="11274" width="14.7109375" style="102" customWidth="1"/>
    <col min="11275" max="11275" width="18" style="102" customWidth="1"/>
    <col min="11276" max="11276" width="18.140625" style="102" customWidth="1"/>
    <col min="11277" max="11277" width="14.28515625" style="102" customWidth="1"/>
    <col min="11278" max="11520" width="9.140625" style="102"/>
    <col min="11521" max="11521" width="14.7109375" style="102" customWidth="1"/>
    <col min="11522" max="11522" width="31.5703125" style="102" customWidth="1"/>
    <col min="11523" max="11530" width="14.7109375" style="102" customWidth="1"/>
    <col min="11531" max="11531" width="18" style="102" customWidth="1"/>
    <col min="11532" max="11532" width="18.140625" style="102" customWidth="1"/>
    <col min="11533" max="11533" width="14.28515625" style="102" customWidth="1"/>
    <col min="11534" max="11776" width="9.140625" style="102"/>
    <col min="11777" max="11777" width="14.7109375" style="102" customWidth="1"/>
    <col min="11778" max="11778" width="31.5703125" style="102" customWidth="1"/>
    <col min="11779" max="11786" width="14.7109375" style="102" customWidth="1"/>
    <col min="11787" max="11787" width="18" style="102" customWidth="1"/>
    <col min="11788" max="11788" width="18.140625" style="102" customWidth="1"/>
    <col min="11789" max="11789" width="14.28515625" style="102" customWidth="1"/>
    <col min="11790" max="12032" width="9.140625" style="102"/>
    <col min="12033" max="12033" width="14.7109375" style="102" customWidth="1"/>
    <col min="12034" max="12034" width="31.5703125" style="102" customWidth="1"/>
    <col min="12035" max="12042" width="14.7109375" style="102" customWidth="1"/>
    <col min="12043" max="12043" width="18" style="102" customWidth="1"/>
    <col min="12044" max="12044" width="18.140625" style="102" customWidth="1"/>
    <col min="12045" max="12045" width="14.28515625" style="102" customWidth="1"/>
    <col min="12046" max="12288" width="9.140625" style="102"/>
    <col min="12289" max="12289" width="14.7109375" style="102" customWidth="1"/>
    <col min="12290" max="12290" width="31.5703125" style="102" customWidth="1"/>
    <col min="12291" max="12298" width="14.7109375" style="102" customWidth="1"/>
    <col min="12299" max="12299" width="18" style="102" customWidth="1"/>
    <col min="12300" max="12300" width="18.140625" style="102" customWidth="1"/>
    <col min="12301" max="12301" width="14.28515625" style="102" customWidth="1"/>
    <col min="12302" max="12544" width="9.140625" style="102"/>
    <col min="12545" max="12545" width="14.7109375" style="102" customWidth="1"/>
    <col min="12546" max="12546" width="31.5703125" style="102" customWidth="1"/>
    <col min="12547" max="12554" width="14.7109375" style="102" customWidth="1"/>
    <col min="12555" max="12555" width="18" style="102" customWidth="1"/>
    <col min="12556" max="12556" width="18.140625" style="102" customWidth="1"/>
    <col min="12557" max="12557" width="14.28515625" style="102" customWidth="1"/>
    <col min="12558" max="12800" width="9.140625" style="102"/>
    <col min="12801" max="12801" width="14.7109375" style="102" customWidth="1"/>
    <col min="12802" max="12802" width="31.5703125" style="102" customWidth="1"/>
    <col min="12803" max="12810" width="14.7109375" style="102" customWidth="1"/>
    <col min="12811" max="12811" width="18" style="102" customWidth="1"/>
    <col min="12812" max="12812" width="18.140625" style="102" customWidth="1"/>
    <col min="12813" max="12813" width="14.28515625" style="102" customWidth="1"/>
    <col min="12814" max="13056" width="9.140625" style="102"/>
    <col min="13057" max="13057" width="14.7109375" style="102" customWidth="1"/>
    <col min="13058" max="13058" width="31.5703125" style="102" customWidth="1"/>
    <col min="13059" max="13066" width="14.7109375" style="102" customWidth="1"/>
    <col min="13067" max="13067" width="18" style="102" customWidth="1"/>
    <col min="13068" max="13068" width="18.140625" style="102" customWidth="1"/>
    <col min="13069" max="13069" width="14.28515625" style="102" customWidth="1"/>
    <col min="13070" max="13312" width="9.140625" style="102"/>
    <col min="13313" max="13313" width="14.7109375" style="102" customWidth="1"/>
    <col min="13314" max="13314" width="31.5703125" style="102" customWidth="1"/>
    <col min="13315" max="13322" width="14.7109375" style="102" customWidth="1"/>
    <col min="13323" max="13323" width="18" style="102" customWidth="1"/>
    <col min="13324" max="13324" width="18.140625" style="102" customWidth="1"/>
    <col min="13325" max="13325" width="14.28515625" style="102" customWidth="1"/>
    <col min="13326" max="13568" width="9.140625" style="102"/>
    <col min="13569" max="13569" width="14.7109375" style="102" customWidth="1"/>
    <col min="13570" max="13570" width="31.5703125" style="102" customWidth="1"/>
    <col min="13571" max="13578" width="14.7109375" style="102" customWidth="1"/>
    <col min="13579" max="13579" width="18" style="102" customWidth="1"/>
    <col min="13580" max="13580" width="18.140625" style="102" customWidth="1"/>
    <col min="13581" max="13581" width="14.28515625" style="102" customWidth="1"/>
    <col min="13582" max="13824" width="9.140625" style="102"/>
    <col min="13825" max="13825" width="14.7109375" style="102" customWidth="1"/>
    <col min="13826" max="13826" width="31.5703125" style="102" customWidth="1"/>
    <col min="13827" max="13834" width="14.7109375" style="102" customWidth="1"/>
    <col min="13835" max="13835" width="18" style="102" customWidth="1"/>
    <col min="13836" max="13836" width="18.140625" style="102" customWidth="1"/>
    <col min="13837" max="13837" width="14.28515625" style="102" customWidth="1"/>
    <col min="13838" max="14080" width="9.140625" style="102"/>
    <col min="14081" max="14081" width="14.7109375" style="102" customWidth="1"/>
    <col min="14082" max="14082" width="31.5703125" style="102" customWidth="1"/>
    <col min="14083" max="14090" width="14.7109375" style="102" customWidth="1"/>
    <col min="14091" max="14091" width="18" style="102" customWidth="1"/>
    <col min="14092" max="14092" width="18.140625" style="102" customWidth="1"/>
    <col min="14093" max="14093" width="14.28515625" style="102" customWidth="1"/>
    <col min="14094" max="14336" width="9.140625" style="102"/>
    <col min="14337" max="14337" width="14.7109375" style="102" customWidth="1"/>
    <col min="14338" max="14338" width="31.5703125" style="102" customWidth="1"/>
    <col min="14339" max="14346" width="14.7109375" style="102" customWidth="1"/>
    <col min="14347" max="14347" width="18" style="102" customWidth="1"/>
    <col min="14348" max="14348" width="18.140625" style="102" customWidth="1"/>
    <col min="14349" max="14349" width="14.28515625" style="102" customWidth="1"/>
    <col min="14350" max="14592" width="9.140625" style="102"/>
    <col min="14593" max="14593" width="14.7109375" style="102" customWidth="1"/>
    <col min="14594" max="14594" width="31.5703125" style="102" customWidth="1"/>
    <col min="14595" max="14602" width="14.7109375" style="102" customWidth="1"/>
    <col min="14603" max="14603" width="18" style="102" customWidth="1"/>
    <col min="14604" max="14604" width="18.140625" style="102" customWidth="1"/>
    <col min="14605" max="14605" width="14.28515625" style="102" customWidth="1"/>
    <col min="14606" max="14848" width="9.140625" style="102"/>
    <col min="14849" max="14849" width="14.7109375" style="102" customWidth="1"/>
    <col min="14850" max="14850" width="31.5703125" style="102" customWidth="1"/>
    <col min="14851" max="14858" width="14.7109375" style="102" customWidth="1"/>
    <col min="14859" max="14859" width="18" style="102" customWidth="1"/>
    <col min="14860" max="14860" width="18.140625" style="102" customWidth="1"/>
    <col min="14861" max="14861" width="14.28515625" style="102" customWidth="1"/>
    <col min="14862" max="15104" width="9.140625" style="102"/>
    <col min="15105" max="15105" width="14.7109375" style="102" customWidth="1"/>
    <col min="15106" max="15106" width="31.5703125" style="102" customWidth="1"/>
    <col min="15107" max="15114" width="14.7109375" style="102" customWidth="1"/>
    <col min="15115" max="15115" width="18" style="102" customWidth="1"/>
    <col min="15116" max="15116" width="18.140625" style="102" customWidth="1"/>
    <col min="15117" max="15117" width="14.28515625" style="102" customWidth="1"/>
    <col min="15118" max="15360" width="9.140625" style="102"/>
    <col min="15361" max="15361" width="14.7109375" style="102" customWidth="1"/>
    <col min="15362" max="15362" width="31.5703125" style="102" customWidth="1"/>
    <col min="15363" max="15370" width="14.7109375" style="102" customWidth="1"/>
    <col min="15371" max="15371" width="18" style="102" customWidth="1"/>
    <col min="15372" max="15372" width="18.140625" style="102" customWidth="1"/>
    <col min="15373" max="15373" width="14.28515625" style="102" customWidth="1"/>
    <col min="15374" max="15616" width="9.140625" style="102"/>
    <col min="15617" max="15617" width="14.7109375" style="102" customWidth="1"/>
    <col min="15618" max="15618" width="31.5703125" style="102" customWidth="1"/>
    <col min="15619" max="15626" width="14.7109375" style="102" customWidth="1"/>
    <col min="15627" max="15627" width="18" style="102" customWidth="1"/>
    <col min="15628" max="15628" width="18.140625" style="102" customWidth="1"/>
    <col min="15629" max="15629" width="14.28515625" style="102" customWidth="1"/>
    <col min="15630" max="15872" width="9.140625" style="102"/>
    <col min="15873" max="15873" width="14.7109375" style="102" customWidth="1"/>
    <col min="15874" max="15874" width="31.5703125" style="102" customWidth="1"/>
    <col min="15875" max="15882" width="14.7109375" style="102" customWidth="1"/>
    <col min="15883" max="15883" width="18" style="102" customWidth="1"/>
    <col min="15884" max="15884" width="18.140625" style="102" customWidth="1"/>
    <col min="15885" max="15885" width="14.28515625" style="102" customWidth="1"/>
    <col min="15886" max="16128" width="9.140625" style="102"/>
    <col min="16129" max="16129" width="14.7109375" style="102" customWidth="1"/>
    <col min="16130" max="16130" width="31.5703125" style="102" customWidth="1"/>
    <col min="16131" max="16138" width="14.7109375" style="102" customWidth="1"/>
    <col min="16139" max="16139" width="18" style="102" customWidth="1"/>
    <col min="16140" max="16140" width="18.140625" style="102" customWidth="1"/>
    <col min="16141" max="16141" width="14.28515625" style="102" customWidth="1"/>
    <col min="16142" max="16384" width="9.140625" style="102"/>
  </cols>
  <sheetData>
    <row r="1" spans="1:10" ht="16.5" customHeight="1" x14ac:dyDescent="0.25">
      <c r="A1" s="287" t="s">
        <v>25</v>
      </c>
      <c r="B1" s="287"/>
      <c r="C1" s="287"/>
      <c r="D1" s="287"/>
      <c r="E1" s="287"/>
      <c r="F1" s="287"/>
      <c r="G1" s="287"/>
      <c r="H1" s="287"/>
      <c r="I1" s="287"/>
      <c r="J1" s="287"/>
    </row>
    <row r="2" spans="1:10" ht="16.5" customHeight="1" x14ac:dyDescent="0.25">
      <c r="A2" s="287"/>
      <c r="B2" s="287"/>
      <c r="C2" s="287"/>
      <c r="D2" s="287"/>
      <c r="E2" s="287"/>
      <c r="F2" s="287"/>
      <c r="G2" s="287"/>
      <c r="H2" s="287"/>
      <c r="I2" s="287"/>
      <c r="J2" s="287"/>
    </row>
    <row r="3" spans="1:10" ht="16.5" customHeight="1" x14ac:dyDescent="0.25">
      <c r="A3" s="287"/>
      <c r="B3" s="287"/>
      <c r="C3" s="287"/>
      <c r="D3" s="287"/>
      <c r="E3" s="287"/>
      <c r="F3" s="287"/>
      <c r="G3" s="287"/>
      <c r="H3" s="287"/>
      <c r="I3" s="287"/>
      <c r="J3" s="287"/>
    </row>
    <row r="4" spans="1:10" ht="16.5" customHeight="1" x14ac:dyDescent="0.25">
      <c r="A4" s="243" t="str">
        <f>'[3]Planilha orçamentária-Evento'!A4:I4</f>
        <v>OBRA POR EXECUÇÃO INDIRETA</v>
      </c>
      <c r="B4" s="243"/>
      <c r="C4" s="243"/>
      <c r="D4" s="243"/>
      <c r="E4" s="243"/>
      <c r="F4" s="243"/>
      <c r="G4" s="243"/>
      <c r="H4" s="243"/>
      <c r="I4" s="243"/>
      <c r="J4" s="243"/>
    </row>
    <row r="5" spans="1:10" ht="16.5" customHeight="1" x14ac:dyDescent="0.25">
      <c r="A5" s="288" t="str">
        <f>'[3]Planilha orçamentária-Evento'!A5:I5</f>
        <v>Setor requisitante: Secretaria Municipal de Obras e Serviços Urbanos</v>
      </c>
      <c r="B5" s="288"/>
      <c r="C5" s="288"/>
      <c r="D5" s="288"/>
      <c r="E5" s="288"/>
      <c r="F5" s="288"/>
      <c r="G5" s="288"/>
      <c r="H5" s="288"/>
      <c r="I5" s="288"/>
      <c r="J5" s="288"/>
    </row>
    <row r="6" spans="1:10" ht="16.5" customHeight="1" x14ac:dyDescent="0.25">
      <c r="A6" s="288" t="str">
        <f>'[3]Planilha orçamentária-Evento'!A6:A7</f>
        <v>Objeto:</v>
      </c>
      <c r="B6" s="291" t="str">
        <f>'Plan. Orçamentária'!C6</f>
        <v>LOTE 02 - Pavimentação de via em piso de concreto pré-moldado intertravado, tipo Sextavado - Rua Custódio Costa Lage, Rua Gabriel Martins Quintão e Avenida Nuno Lage, bairro Santa Maria - Nova Era/MG</v>
      </c>
      <c r="C6" s="292"/>
      <c r="D6" s="292"/>
      <c r="E6" s="292"/>
      <c r="F6" s="292"/>
      <c r="G6" s="292"/>
      <c r="H6" s="292"/>
      <c r="I6" s="293"/>
      <c r="J6" s="297">
        <f ca="1">TODAY()</f>
        <v>44887</v>
      </c>
    </row>
    <row r="7" spans="1:10" ht="16.5" customHeight="1" x14ac:dyDescent="0.25">
      <c r="A7" s="288"/>
      <c r="B7" s="294"/>
      <c r="C7" s="295"/>
      <c r="D7" s="295"/>
      <c r="E7" s="295"/>
      <c r="F7" s="295"/>
      <c r="G7" s="295"/>
      <c r="H7" s="295"/>
      <c r="I7" s="296"/>
      <c r="J7" s="297"/>
    </row>
    <row r="8" spans="1:10" ht="16.5" customHeight="1" x14ac:dyDescent="0.25">
      <c r="A8" s="243" t="s">
        <v>91</v>
      </c>
      <c r="B8" s="243"/>
      <c r="C8" s="243"/>
      <c r="D8" s="243"/>
      <c r="E8" s="243"/>
      <c r="F8" s="243"/>
      <c r="G8" s="243"/>
      <c r="H8" s="243"/>
      <c r="I8" s="243"/>
      <c r="J8" s="243"/>
    </row>
    <row r="9" spans="1:10" ht="16.5" customHeight="1" x14ac:dyDescent="0.25">
      <c r="A9" s="276"/>
      <c r="B9" s="276"/>
      <c r="C9" s="276"/>
      <c r="D9" s="276"/>
      <c r="E9" s="276"/>
      <c r="F9" s="276"/>
      <c r="G9" s="276"/>
      <c r="H9" s="276"/>
      <c r="I9" s="276"/>
      <c r="J9" s="276"/>
    </row>
    <row r="10" spans="1:10" ht="16.5" customHeight="1" x14ac:dyDescent="0.25">
      <c r="A10" s="289" t="s">
        <v>92</v>
      </c>
      <c r="B10" s="289"/>
      <c r="C10" s="289"/>
      <c r="D10" s="289"/>
      <c r="E10" s="289"/>
      <c r="F10" s="289"/>
      <c r="G10" s="289"/>
      <c r="H10" s="289"/>
      <c r="I10" s="290">
        <v>0.9</v>
      </c>
      <c r="J10" s="290"/>
    </row>
    <row r="11" spans="1:10" ht="16.5" customHeight="1" x14ac:dyDescent="0.25">
      <c r="A11" s="289" t="s">
        <v>93</v>
      </c>
      <c r="B11" s="289"/>
      <c r="C11" s="289"/>
      <c r="D11" s="289"/>
      <c r="E11" s="289"/>
      <c r="F11" s="289"/>
      <c r="G11" s="289"/>
      <c r="H11" s="289"/>
      <c r="I11" s="290">
        <v>0.05</v>
      </c>
      <c r="J11" s="290"/>
    </row>
    <row r="12" spans="1:10" ht="16.5" customHeight="1" x14ac:dyDescent="0.25">
      <c r="A12" s="276"/>
      <c r="B12" s="276"/>
      <c r="C12" s="276"/>
      <c r="D12" s="276"/>
      <c r="E12" s="276"/>
      <c r="F12" s="276"/>
      <c r="G12" s="276"/>
      <c r="H12" s="276"/>
      <c r="I12" s="276"/>
      <c r="J12" s="276"/>
    </row>
    <row r="13" spans="1:10" ht="16.5" customHeight="1" x14ac:dyDescent="0.25">
      <c r="A13" s="157" t="s">
        <v>94</v>
      </c>
      <c r="B13" s="157"/>
      <c r="C13" s="157"/>
      <c r="D13" s="157"/>
      <c r="E13" s="157"/>
      <c r="F13" s="157"/>
      <c r="G13" s="157"/>
      <c r="H13" s="157"/>
      <c r="I13" s="157"/>
      <c r="J13" s="157"/>
    </row>
    <row r="14" spans="1:10" ht="16.5" customHeight="1" x14ac:dyDescent="0.25">
      <c r="A14" s="277"/>
      <c r="B14" s="278"/>
      <c r="C14" s="278"/>
      <c r="D14" s="278"/>
      <c r="E14" s="278"/>
      <c r="F14" s="278"/>
      <c r="G14" s="278"/>
      <c r="H14" s="278"/>
      <c r="I14" s="278"/>
      <c r="J14" s="279"/>
    </row>
    <row r="15" spans="1:10" ht="16.5" customHeight="1" x14ac:dyDescent="0.25">
      <c r="A15" s="280" t="s">
        <v>95</v>
      </c>
      <c r="B15" s="280"/>
      <c r="C15" s="280"/>
      <c r="D15" s="280"/>
      <c r="E15" s="280"/>
      <c r="F15" s="280"/>
      <c r="G15" s="280"/>
      <c r="H15" s="280"/>
      <c r="I15" s="280"/>
      <c r="J15" s="280"/>
    </row>
    <row r="16" spans="1:10" ht="16.5" customHeight="1" x14ac:dyDescent="0.25">
      <c r="A16" s="298" t="s">
        <v>252</v>
      </c>
      <c r="B16" s="298"/>
      <c r="C16" s="298"/>
      <c r="D16" s="298"/>
      <c r="E16" s="298"/>
      <c r="F16" s="298"/>
      <c r="G16" s="298"/>
      <c r="H16" s="298"/>
      <c r="I16" s="298"/>
      <c r="J16" s="298"/>
    </row>
    <row r="17" spans="1:13" ht="16.5" customHeight="1" x14ac:dyDescent="0.25">
      <c r="A17" s="276"/>
      <c r="B17" s="276"/>
      <c r="C17" s="276"/>
      <c r="D17" s="276"/>
      <c r="E17" s="276"/>
      <c r="F17" s="276"/>
      <c r="G17" s="276"/>
      <c r="H17" s="276"/>
      <c r="I17" s="276"/>
      <c r="J17" s="276"/>
    </row>
    <row r="18" spans="1:13" ht="16.5" customHeight="1" x14ac:dyDescent="0.25">
      <c r="A18" s="286" t="s">
        <v>96</v>
      </c>
      <c r="B18" s="286"/>
      <c r="C18" s="286"/>
      <c r="D18" s="286"/>
      <c r="E18" s="286"/>
      <c r="F18" s="286"/>
      <c r="G18" s="286"/>
      <c r="H18" s="286"/>
      <c r="I18" s="106" t="s">
        <v>97</v>
      </c>
      <c r="J18" s="69" t="s">
        <v>98</v>
      </c>
    </row>
    <row r="19" spans="1:13" ht="16.5" customHeight="1" x14ac:dyDescent="0.25">
      <c r="A19" s="281" t="s">
        <v>245</v>
      </c>
      <c r="B19" s="281"/>
      <c r="C19" s="281"/>
      <c r="D19" s="281"/>
      <c r="E19" s="281"/>
      <c r="F19" s="281"/>
      <c r="G19" s="281"/>
      <c r="H19" s="281"/>
      <c r="I19" s="70" t="s">
        <v>99</v>
      </c>
      <c r="J19" s="36">
        <v>4.0099999999999997E-2</v>
      </c>
    </row>
    <row r="20" spans="1:13" ht="16.5" customHeight="1" x14ac:dyDescent="0.25">
      <c r="A20" s="281" t="s">
        <v>246</v>
      </c>
      <c r="B20" s="281"/>
      <c r="C20" s="281"/>
      <c r="D20" s="281"/>
      <c r="E20" s="281"/>
      <c r="F20" s="281"/>
      <c r="G20" s="281"/>
      <c r="H20" s="281"/>
      <c r="I20" s="70" t="s">
        <v>100</v>
      </c>
      <c r="J20" s="36">
        <v>4.0000000000000001E-3</v>
      </c>
    </row>
    <row r="21" spans="1:13" ht="16.5" customHeight="1" x14ac:dyDescent="0.25">
      <c r="A21" s="281" t="s">
        <v>247</v>
      </c>
      <c r="B21" s="281"/>
      <c r="C21" s="281"/>
      <c r="D21" s="281"/>
      <c r="E21" s="281"/>
      <c r="F21" s="281"/>
      <c r="G21" s="281"/>
      <c r="H21" s="281"/>
      <c r="I21" s="70" t="s">
        <v>101</v>
      </c>
      <c r="J21" s="36">
        <v>5.5999999999999999E-3</v>
      </c>
    </row>
    <row r="22" spans="1:13" ht="16.5" customHeight="1" x14ac:dyDescent="0.25">
      <c r="A22" s="281" t="s">
        <v>248</v>
      </c>
      <c r="B22" s="281"/>
      <c r="C22" s="281"/>
      <c r="D22" s="281"/>
      <c r="E22" s="281"/>
      <c r="F22" s="281"/>
      <c r="G22" s="281"/>
      <c r="H22" s="281"/>
      <c r="I22" s="70" t="s">
        <v>102</v>
      </c>
      <c r="J22" s="36">
        <v>1.11E-2</v>
      </c>
    </row>
    <row r="23" spans="1:13" ht="16.5" customHeight="1" x14ac:dyDescent="0.25">
      <c r="A23" s="281" t="s">
        <v>249</v>
      </c>
      <c r="B23" s="281"/>
      <c r="C23" s="281"/>
      <c r="D23" s="281"/>
      <c r="E23" s="281"/>
      <c r="F23" s="281"/>
      <c r="G23" s="281"/>
      <c r="H23" s="281"/>
      <c r="I23" s="70" t="s">
        <v>103</v>
      </c>
      <c r="J23" s="36">
        <v>7.2999999999999995E-2</v>
      </c>
    </row>
    <row r="24" spans="1:13" ht="16.5" customHeight="1" x14ac:dyDescent="0.25">
      <c r="A24" s="281" t="s">
        <v>104</v>
      </c>
      <c r="B24" s="281"/>
      <c r="C24" s="281"/>
      <c r="D24" s="281"/>
      <c r="E24" s="281"/>
      <c r="F24" s="281"/>
      <c r="G24" s="281"/>
      <c r="H24" s="281"/>
      <c r="I24" s="70" t="s">
        <v>105</v>
      </c>
      <c r="J24" s="36">
        <v>3.6499999999999998E-2</v>
      </c>
    </row>
    <row r="25" spans="1:13" ht="16.5" customHeight="1" x14ac:dyDescent="0.25">
      <c r="A25" s="281" t="s">
        <v>106</v>
      </c>
      <c r="B25" s="281"/>
      <c r="C25" s="281"/>
      <c r="D25" s="281"/>
      <c r="E25" s="281"/>
      <c r="F25" s="281"/>
      <c r="G25" s="281"/>
      <c r="H25" s="281"/>
      <c r="I25" s="70" t="s">
        <v>107</v>
      </c>
      <c r="J25" s="71">
        <f>I11*I10</f>
        <v>4.4999999999999998E-2</v>
      </c>
    </row>
    <row r="26" spans="1:13" ht="16.5" customHeight="1" x14ac:dyDescent="0.25">
      <c r="A26" s="281" t="s">
        <v>108</v>
      </c>
      <c r="B26" s="281"/>
      <c r="C26" s="281"/>
      <c r="D26" s="281"/>
      <c r="E26" s="281"/>
      <c r="F26" s="281"/>
      <c r="G26" s="281"/>
      <c r="H26" s="281"/>
      <c r="I26" s="70" t="s">
        <v>109</v>
      </c>
      <c r="J26" s="71">
        <v>4.4999999999999998E-2</v>
      </c>
    </row>
    <row r="27" spans="1:13" ht="16.5" customHeight="1" x14ac:dyDescent="0.25">
      <c r="A27" s="281" t="s">
        <v>110</v>
      </c>
      <c r="B27" s="281"/>
      <c r="C27" s="281"/>
      <c r="D27" s="281"/>
      <c r="E27" s="281"/>
      <c r="F27" s="281"/>
      <c r="G27" s="281"/>
      <c r="H27" s="281"/>
      <c r="I27" s="72" t="s">
        <v>111</v>
      </c>
      <c r="J27" s="71">
        <f>(((1+J19+J20+J21)*(1+J22)*(1+J23))/(1-(J24+J25)))-1</f>
        <v>0.2399</v>
      </c>
    </row>
    <row r="28" spans="1:13" ht="16.5" customHeight="1" x14ac:dyDescent="0.25">
      <c r="A28" s="282" t="s">
        <v>112</v>
      </c>
      <c r="B28" s="282"/>
      <c r="C28" s="282"/>
      <c r="D28" s="282"/>
      <c r="E28" s="282"/>
      <c r="F28" s="282"/>
      <c r="G28" s="282"/>
      <c r="H28" s="282"/>
      <c r="I28" s="107" t="s">
        <v>113</v>
      </c>
      <c r="J28" s="74">
        <f>(((1+(J19+J20+J21))*(1+J22)*(1+J23))/(1-(J24+J25+J26)))-1</f>
        <v>0.30380000000000001</v>
      </c>
    </row>
    <row r="29" spans="1:13" ht="16.5" customHeight="1" x14ac:dyDescent="0.25">
      <c r="A29" s="283"/>
      <c r="B29" s="284"/>
      <c r="C29" s="284"/>
      <c r="D29" s="284"/>
      <c r="E29" s="284"/>
      <c r="F29" s="284"/>
      <c r="G29" s="284"/>
      <c r="H29" s="284"/>
      <c r="I29" s="284"/>
      <c r="J29" s="285"/>
    </row>
    <row r="30" spans="1:13" ht="16.5" customHeight="1" x14ac:dyDescent="0.25">
      <c r="A30" s="110"/>
      <c r="B30" s="111"/>
      <c r="C30" s="111"/>
      <c r="D30" s="111"/>
      <c r="E30" s="111"/>
      <c r="F30" s="111"/>
      <c r="G30" s="111"/>
      <c r="H30" s="111"/>
      <c r="I30" s="111"/>
      <c r="J30" s="112"/>
    </row>
    <row r="31" spans="1:13" s="37" customFormat="1" ht="16.5" customHeight="1" x14ac:dyDescent="0.25">
      <c r="A31" s="263" t="s">
        <v>114</v>
      </c>
      <c r="B31" s="264"/>
      <c r="C31" s="264"/>
      <c r="D31" s="264"/>
      <c r="E31" s="264"/>
      <c r="F31" s="264"/>
      <c r="G31" s="264"/>
      <c r="H31" s="264"/>
      <c r="I31" s="264"/>
      <c r="J31" s="265"/>
      <c r="L31" s="73"/>
      <c r="M31" s="73"/>
    </row>
    <row r="32" spans="1:13" s="37" customFormat="1" ht="16.5" customHeight="1" x14ac:dyDescent="0.25">
      <c r="A32" s="263"/>
      <c r="B32" s="264"/>
      <c r="C32" s="264"/>
      <c r="D32" s="264"/>
      <c r="E32" s="264"/>
      <c r="F32" s="264"/>
      <c r="G32" s="264"/>
      <c r="H32" s="264"/>
      <c r="I32" s="264"/>
      <c r="J32" s="265"/>
      <c r="L32" s="73"/>
    </row>
    <row r="33" spans="1:10" s="37" customFormat="1" ht="16.5" customHeight="1" x14ac:dyDescent="0.25">
      <c r="A33" s="263"/>
      <c r="B33" s="264"/>
      <c r="C33" s="264"/>
      <c r="D33" s="264"/>
      <c r="E33" s="264"/>
      <c r="F33" s="264"/>
      <c r="G33" s="264"/>
      <c r="H33" s="264"/>
      <c r="I33" s="264"/>
      <c r="J33" s="265"/>
    </row>
    <row r="34" spans="1:10" s="37" customFormat="1" ht="16.5" customHeight="1" x14ac:dyDescent="0.25">
      <c r="A34" s="263"/>
      <c r="B34" s="264"/>
      <c r="C34" s="264"/>
      <c r="D34" s="264"/>
      <c r="E34" s="264"/>
      <c r="F34" s="264"/>
      <c r="G34" s="264"/>
      <c r="H34" s="264"/>
      <c r="I34" s="264"/>
      <c r="J34" s="265"/>
    </row>
    <row r="35" spans="1:10" s="37" customFormat="1" ht="16.5" customHeight="1" x14ac:dyDescent="0.25">
      <c r="A35" s="266"/>
      <c r="B35" s="267"/>
      <c r="C35" s="267"/>
      <c r="D35" s="267"/>
      <c r="E35" s="267"/>
      <c r="F35" s="267"/>
      <c r="G35" s="267"/>
      <c r="H35" s="267"/>
      <c r="I35" s="267"/>
      <c r="J35" s="268"/>
    </row>
    <row r="36" spans="1:10" ht="16.5" customHeight="1" x14ac:dyDescent="0.25">
      <c r="A36" s="269"/>
      <c r="B36" s="270"/>
      <c r="C36" s="270"/>
      <c r="D36" s="270"/>
      <c r="E36" s="270"/>
      <c r="F36" s="270"/>
      <c r="G36" s="270"/>
      <c r="H36" s="270"/>
      <c r="I36" s="270"/>
      <c r="J36" s="271"/>
    </row>
    <row r="37" spans="1:10" ht="16.5" customHeight="1" x14ac:dyDescent="0.25">
      <c r="A37" s="272" t="s">
        <v>250</v>
      </c>
      <c r="B37" s="272"/>
      <c r="C37" s="272"/>
      <c r="D37" s="272"/>
      <c r="E37" s="272"/>
      <c r="F37" s="272"/>
      <c r="G37" s="272"/>
      <c r="H37" s="272"/>
      <c r="I37" s="272"/>
      <c r="J37" s="272"/>
    </row>
    <row r="38" spans="1:10" ht="16.5" customHeight="1" x14ac:dyDescent="0.25">
      <c r="A38" s="272"/>
      <c r="B38" s="272"/>
      <c r="C38" s="272"/>
      <c r="D38" s="272"/>
      <c r="E38" s="272"/>
      <c r="F38" s="272"/>
      <c r="G38" s="272"/>
      <c r="H38" s="272"/>
      <c r="I38" s="272"/>
      <c r="J38" s="272"/>
    </row>
    <row r="39" spans="1:10" ht="16.5" customHeight="1" x14ac:dyDescent="0.25">
      <c r="A39" s="272"/>
      <c r="B39" s="272"/>
      <c r="C39" s="272"/>
      <c r="D39" s="272"/>
      <c r="E39" s="272"/>
      <c r="F39" s="272"/>
      <c r="G39" s="272"/>
      <c r="H39" s="272"/>
      <c r="I39" s="272"/>
      <c r="J39" s="272"/>
    </row>
    <row r="40" spans="1:10" ht="16.5" customHeight="1" x14ac:dyDescent="0.2">
      <c r="A40" s="273"/>
      <c r="B40" s="274"/>
      <c r="C40" s="274"/>
      <c r="D40" s="274"/>
      <c r="E40" s="274"/>
      <c r="F40" s="274"/>
      <c r="G40" s="274"/>
      <c r="H40" s="274"/>
      <c r="I40" s="274"/>
      <c r="J40" s="275"/>
    </row>
    <row r="41" spans="1:10" ht="16.5" customHeight="1" x14ac:dyDescent="0.25">
      <c r="A41" s="272" t="s">
        <v>251</v>
      </c>
      <c r="B41" s="272"/>
      <c r="C41" s="272"/>
      <c r="D41" s="272"/>
      <c r="E41" s="272"/>
      <c r="F41" s="272"/>
      <c r="G41" s="272"/>
      <c r="H41" s="272"/>
      <c r="I41" s="272"/>
      <c r="J41" s="272"/>
    </row>
    <row r="42" spans="1:10" ht="16.5" customHeight="1" x14ac:dyDescent="0.25">
      <c r="A42" s="272"/>
      <c r="B42" s="272"/>
      <c r="C42" s="272"/>
      <c r="D42" s="272"/>
      <c r="E42" s="272"/>
      <c r="F42" s="272"/>
      <c r="G42" s="272"/>
      <c r="H42" s="272"/>
      <c r="I42" s="272"/>
      <c r="J42" s="272"/>
    </row>
    <row r="43" spans="1:10" ht="16.5" customHeight="1" x14ac:dyDescent="0.25">
      <c r="A43" s="272"/>
      <c r="B43" s="272"/>
      <c r="C43" s="272"/>
      <c r="D43" s="272"/>
      <c r="E43" s="272"/>
      <c r="F43" s="272"/>
      <c r="G43" s="272"/>
      <c r="H43" s="272"/>
      <c r="I43" s="272"/>
      <c r="J43" s="272"/>
    </row>
    <row r="44" spans="1:10" ht="16.5" customHeight="1" x14ac:dyDescent="0.2">
      <c r="A44" s="273"/>
      <c r="B44" s="274"/>
      <c r="C44" s="274"/>
      <c r="D44" s="274"/>
      <c r="E44" s="274"/>
      <c r="F44" s="274"/>
      <c r="G44" s="274"/>
      <c r="H44" s="274"/>
      <c r="I44" s="274"/>
      <c r="J44" s="275"/>
    </row>
    <row r="45" spans="1:10" ht="16.5" customHeight="1" x14ac:dyDescent="0.2">
      <c r="A45" s="259" t="s">
        <v>24</v>
      </c>
      <c r="B45" s="260"/>
      <c r="C45" s="260"/>
      <c r="D45" s="260"/>
      <c r="E45" s="260"/>
      <c r="F45" s="260"/>
      <c r="G45" s="260"/>
      <c r="H45" s="260"/>
      <c r="I45" s="260"/>
      <c r="J45" s="261"/>
    </row>
    <row r="46" spans="1:10" ht="16.5" customHeight="1" x14ac:dyDescent="0.25">
      <c r="A46" s="262"/>
      <c r="B46" s="262"/>
      <c r="C46" s="262"/>
      <c r="D46" s="262"/>
      <c r="E46" s="262"/>
      <c r="F46" s="262"/>
      <c r="G46" s="262"/>
      <c r="H46" s="262"/>
      <c r="I46" s="262"/>
      <c r="J46" s="262"/>
    </row>
    <row r="47" spans="1:10" ht="16.5" customHeight="1" x14ac:dyDescent="0.25">
      <c r="A47" s="262"/>
      <c r="B47" s="262"/>
      <c r="C47" s="262"/>
      <c r="D47" s="262"/>
      <c r="E47" s="262"/>
      <c r="F47" s="262"/>
      <c r="G47" s="262"/>
      <c r="H47" s="262"/>
      <c r="I47" s="262"/>
      <c r="J47" s="262"/>
    </row>
    <row r="48" spans="1:10" ht="16.5" customHeight="1" x14ac:dyDescent="0.25">
      <c r="A48" s="262"/>
      <c r="B48" s="262"/>
      <c r="C48" s="262"/>
      <c r="D48" s="262"/>
      <c r="E48" s="262"/>
      <c r="F48" s="262"/>
      <c r="G48" s="262"/>
      <c r="H48" s="262"/>
      <c r="I48" s="262"/>
      <c r="J48" s="262"/>
    </row>
    <row r="49" spans="1:10" ht="16.5" customHeight="1" x14ac:dyDescent="0.25">
      <c r="A49" s="262"/>
      <c r="B49" s="262"/>
      <c r="C49" s="262"/>
      <c r="D49" s="262"/>
      <c r="E49" s="262"/>
      <c r="F49" s="262"/>
      <c r="G49" s="262"/>
      <c r="H49" s="262"/>
      <c r="I49" s="262"/>
      <c r="J49" s="262"/>
    </row>
    <row r="50" spans="1:10" ht="16.5" customHeight="1" x14ac:dyDescent="0.25">
      <c r="A50" s="262"/>
      <c r="B50" s="262"/>
      <c r="C50" s="262"/>
      <c r="D50" s="262"/>
      <c r="E50" s="262"/>
      <c r="F50" s="262"/>
      <c r="G50" s="262"/>
      <c r="H50" s="262"/>
      <c r="I50" s="262"/>
      <c r="J50" s="262"/>
    </row>
    <row r="51" spans="1:10" ht="16.5" customHeight="1" x14ac:dyDescent="0.25">
      <c r="A51" s="262"/>
      <c r="B51" s="262"/>
      <c r="C51" s="262"/>
      <c r="D51" s="262"/>
      <c r="E51" s="262"/>
      <c r="F51" s="262"/>
      <c r="G51" s="262"/>
      <c r="H51" s="262"/>
      <c r="I51" s="262"/>
      <c r="J51" s="262"/>
    </row>
    <row r="52" spans="1:10" ht="16.5" customHeight="1" x14ac:dyDescent="0.25">
      <c r="A52" s="262"/>
      <c r="B52" s="262"/>
      <c r="C52" s="262"/>
      <c r="D52" s="262"/>
      <c r="E52" s="262"/>
      <c r="F52" s="262"/>
      <c r="G52" s="262"/>
      <c r="H52" s="262"/>
      <c r="I52" s="262"/>
      <c r="J52" s="262"/>
    </row>
  </sheetData>
  <mergeCells count="39">
    <mergeCell ref="A18:H18"/>
    <mergeCell ref="A19:H19"/>
    <mergeCell ref="A1:J3"/>
    <mergeCell ref="A4:J4"/>
    <mergeCell ref="A5:J5"/>
    <mergeCell ref="A10:H10"/>
    <mergeCell ref="I10:J10"/>
    <mergeCell ref="A6:A7"/>
    <mergeCell ref="B6:I7"/>
    <mergeCell ref="J6:J7"/>
    <mergeCell ref="A8:J8"/>
    <mergeCell ref="A9:J9"/>
    <mergeCell ref="A11:H11"/>
    <mergeCell ref="I11:J11"/>
    <mergeCell ref="A13:J13"/>
    <mergeCell ref="A16:J16"/>
    <mergeCell ref="A17:J17"/>
    <mergeCell ref="A12:J12"/>
    <mergeCell ref="A14:J14"/>
    <mergeCell ref="A15:J15"/>
    <mergeCell ref="A44:J44"/>
    <mergeCell ref="A20:H20"/>
    <mergeCell ref="A21:H21"/>
    <mergeCell ref="A22:H22"/>
    <mergeCell ref="A23:H23"/>
    <mergeCell ref="A24:H24"/>
    <mergeCell ref="A25:H25"/>
    <mergeCell ref="A26:H26"/>
    <mergeCell ref="A27:H27"/>
    <mergeCell ref="A28:H28"/>
    <mergeCell ref="A31:J31"/>
    <mergeCell ref="A29:J29"/>
    <mergeCell ref="A45:J45"/>
    <mergeCell ref="A46:J52"/>
    <mergeCell ref="A32:J35"/>
    <mergeCell ref="A36:J36"/>
    <mergeCell ref="A37:J39"/>
    <mergeCell ref="A40:J40"/>
    <mergeCell ref="A41:J43"/>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4:J65559 JF65554:JF65559 TB65554:TB65559 ACX65554:ACX65559 AMT65554:AMT65559 AWP65554:AWP65559 BGL65554:BGL65559 BQH65554:BQH65559 CAD65554:CAD65559 CJZ65554:CJZ65559 CTV65554:CTV65559 DDR65554:DDR65559 DNN65554:DNN65559 DXJ65554:DXJ65559 EHF65554:EHF65559 ERB65554:ERB65559 FAX65554:FAX65559 FKT65554:FKT65559 FUP65554:FUP65559 GEL65554:GEL65559 GOH65554:GOH65559 GYD65554:GYD65559 HHZ65554:HHZ65559 HRV65554:HRV65559 IBR65554:IBR65559 ILN65554:ILN65559 IVJ65554:IVJ65559 JFF65554:JFF65559 JPB65554:JPB65559 JYX65554:JYX65559 KIT65554:KIT65559 KSP65554:KSP65559 LCL65554:LCL65559 LMH65554:LMH65559 LWD65554:LWD65559 MFZ65554:MFZ65559 MPV65554:MPV65559 MZR65554:MZR65559 NJN65554:NJN65559 NTJ65554:NTJ65559 ODF65554:ODF65559 ONB65554:ONB65559 OWX65554:OWX65559 PGT65554:PGT65559 PQP65554:PQP65559 QAL65554:QAL65559 QKH65554:QKH65559 QUD65554:QUD65559 RDZ65554:RDZ65559 RNV65554:RNV65559 RXR65554:RXR65559 SHN65554:SHN65559 SRJ65554:SRJ65559 TBF65554:TBF65559 TLB65554:TLB65559 TUX65554:TUX65559 UET65554:UET65559 UOP65554:UOP65559 UYL65554:UYL65559 VIH65554:VIH65559 VSD65554:VSD65559 WBZ65554:WBZ65559 WLV65554:WLV65559 WVR65554:WVR65559 J131090:J131095 JF131090:JF131095 TB131090:TB131095 ACX131090:ACX131095 AMT131090:AMT131095 AWP131090:AWP131095 BGL131090:BGL131095 BQH131090:BQH131095 CAD131090:CAD131095 CJZ131090:CJZ131095 CTV131090:CTV131095 DDR131090:DDR131095 DNN131090:DNN131095 DXJ131090:DXJ131095 EHF131090:EHF131095 ERB131090:ERB131095 FAX131090:FAX131095 FKT131090:FKT131095 FUP131090:FUP131095 GEL131090:GEL131095 GOH131090:GOH131095 GYD131090:GYD131095 HHZ131090:HHZ131095 HRV131090:HRV131095 IBR131090:IBR131095 ILN131090:ILN131095 IVJ131090:IVJ131095 JFF131090:JFF131095 JPB131090:JPB131095 JYX131090:JYX131095 KIT131090:KIT131095 KSP131090:KSP131095 LCL131090:LCL131095 LMH131090:LMH131095 LWD131090:LWD131095 MFZ131090:MFZ131095 MPV131090:MPV131095 MZR131090:MZR131095 NJN131090:NJN131095 NTJ131090:NTJ131095 ODF131090:ODF131095 ONB131090:ONB131095 OWX131090:OWX131095 PGT131090:PGT131095 PQP131090:PQP131095 QAL131090:QAL131095 QKH131090:QKH131095 QUD131090:QUD131095 RDZ131090:RDZ131095 RNV131090:RNV131095 RXR131090:RXR131095 SHN131090:SHN131095 SRJ131090:SRJ131095 TBF131090:TBF131095 TLB131090:TLB131095 TUX131090:TUX131095 UET131090:UET131095 UOP131090:UOP131095 UYL131090:UYL131095 VIH131090:VIH131095 VSD131090:VSD131095 WBZ131090:WBZ131095 WLV131090:WLV131095 WVR131090:WVR131095 J196626:J196631 JF196626:JF196631 TB196626:TB196631 ACX196626:ACX196631 AMT196626:AMT196631 AWP196626:AWP196631 BGL196626:BGL196631 BQH196626:BQH196631 CAD196626:CAD196631 CJZ196626:CJZ196631 CTV196626:CTV196631 DDR196626:DDR196631 DNN196626:DNN196631 DXJ196626:DXJ196631 EHF196626:EHF196631 ERB196626:ERB196631 FAX196626:FAX196631 FKT196626:FKT196631 FUP196626:FUP196631 GEL196626:GEL196631 GOH196626:GOH196631 GYD196626:GYD196631 HHZ196626:HHZ196631 HRV196626:HRV196631 IBR196626:IBR196631 ILN196626:ILN196631 IVJ196626:IVJ196631 JFF196626:JFF196631 JPB196626:JPB196631 JYX196626:JYX196631 KIT196626:KIT196631 KSP196626:KSP196631 LCL196626:LCL196631 LMH196626:LMH196631 LWD196626:LWD196631 MFZ196626:MFZ196631 MPV196626:MPV196631 MZR196626:MZR196631 NJN196626:NJN196631 NTJ196626:NTJ196631 ODF196626:ODF196631 ONB196626:ONB196631 OWX196626:OWX196631 PGT196626:PGT196631 PQP196626:PQP196631 QAL196626:QAL196631 QKH196626:QKH196631 QUD196626:QUD196631 RDZ196626:RDZ196631 RNV196626:RNV196631 RXR196626:RXR196631 SHN196626:SHN196631 SRJ196626:SRJ196631 TBF196626:TBF196631 TLB196626:TLB196631 TUX196626:TUX196631 UET196626:UET196631 UOP196626:UOP196631 UYL196626:UYL196631 VIH196626:VIH196631 VSD196626:VSD196631 WBZ196626:WBZ196631 WLV196626:WLV196631 WVR196626:WVR196631 J262162:J262167 JF262162:JF262167 TB262162:TB262167 ACX262162:ACX262167 AMT262162:AMT262167 AWP262162:AWP262167 BGL262162:BGL262167 BQH262162:BQH262167 CAD262162:CAD262167 CJZ262162:CJZ262167 CTV262162:CTV262167 DDR262162:DDR262167 DNN262162:DNN262167 DXJ262162:DXJ262167 EHF262162:EHF262167 ERB262162:ERB262167 FAX262162:FAX262167 FKT262162:FKT262167 FUP262162:FUP262167 GEL262162:GEL262167 GOH262162:GOH262167 GYD262162:GYD262167 HHZ262162:HHZ262167 HRV262162:HRV262167 IBR262162:IBR262167 ILN262162:ILN262167 IVJ262162:IVJ262167 JFF262162:JFF262167 JPB262162:JPB262167 JYX262162:JYX262167 KIT262162:KIT262167 KSP262162:KSP262167 LCL262162:LCL262167 LMH262162:LMH262167 LWD262162:LWD262167 MFZ262162:MFZ262167 MPV262162:MPV262167 MZR262162:MZR262167 NJN262162:NJN262167 NTJ262162:NTJ262167 ODF262162:ODF262167 ONB262162:ONB262167 OWX262162:OWX262167 PGT262162:PGT262167 PQP262162:PQP262167 QAL262162:QAL262167 QKH262162:QKH262167 QUD262162:QUD262167 RDZ262162:RDZ262167 RNV262162:RNV262167 RXR262162:RXR262167 SHN262162:SHN262167 SRJ262162:SRJ262167 TBF262162:TBF262167 TLB262162:TLB262167 TUX262162:TUX262167 UET262162:UET262167 UOP262162:UOP262167 UYL262162:UYL262167 VIH262162:VIH262167 VSD262162:VSD262167 WBZ262162:WBZ262167 WLV262162:WLV262167 WVR262162:WVR262167 J327698:J327703 JF327698:JF327703 TB327698:TB327703 ACX327698:ACX327703 AMT327698:AMT327703 AWP327698:AWP327703 BGL327698:BGL327703 BQH327698:BQH327703 CAD327698:CAD327703 CJZ327698:CJZ327703 CTV327698:CTV327703 DDR327698:DDR327703 DNN327698:DNN327703 DXJ327698:DXJ327703 EHF327698:EHF327703 ERB327698:ERB327703 FAX327698:FAX327703 FKT327698:FKT327703 FUP327698:FUP327703 GEL327698:GEL327703 GOH327698:GOH327703 GYD327698:GYD327703 HHZ327698:HHZ327703 HRV327698:HRV327703 IBR327698:IBR327703 ILN327698:ILN327703 IVJ327698:IVJ327703 JFF327698:JFF327703 JPB327698:JPB327703 JYX327698:JYX327703 KIT327698:KIT327703 KSP327698:KSP327703 LCL327698:LCL327703 LMH327698:LMH327703 LWD327698:LWD327703 MFZ327698:MFZ327703 MPV327698:MPV327703 MZR327698:MZR327703 NJN327698:NJN327703 NTJ327698:NTJ327703 ODF327698:ODF327703 ONB327698:ONB327703 OWX327698:OWX327703 PGT327698:PGT327703 PQP327698:PQP327703 QAL327698:QAL327703 QKH327698:QKH327703 QUD327698:QUD327703 RDZ327698:RDZ327703 RNV327698:RNV327703 RXR327698:RXR327703 SHN327698:SHN327703 SRJ327698:SRJ327703 TBF327698:TBF327703 TLB327698:TLB327703 TUX327698:TUX327703 UET327698:UET327703 UOP327698:UOP327703 UYL327698:UYL327703 VIH327698:VIH327703 VSD327698:VSD327703 WBZ327698:WBZ327703 WLV327698:WLV327703 WVR327698:WVR327703 J393234:J393239 JF393234:JF393239 TB393234:TB393239 ACX393234:ACX393239 AMT393234:AMT393239 AWP393234:AWP393239 BGL393234:BGL393239 BQH393234:BQH393239 CAD393234:CAD393239 CJZ393234:CJZ393239 CTV393234:CTV393239 DDR393234:DDR393239 DNN393234:DNN393239 DXJ393234:DXJ393239 EHF393234:EHF393239 ERB393234:ERB393239 FAX393234:FAX393239 FKT393234:FKT393239 FUP393234:FUP393239 GEL393234:GEL393239 GOH393234:GOH393239 GYD393234:GYD393239 HHZ393234:HHZ393239 HRV393234:HRV393239 IBR393234:IBR393239 ILN393234:ILN393239 IVJ393234:IVJ393239 JFF393234:JFF393239 JPB393234:JPB393239 JYX393234:JYX393239 KIT393234:KIT393239 KSP393234:KSP393239 LCL393234:LCL393239 LMH393234:LMH393239 LWD393234:LWD393239 MFZ393234:MFZ393239 MPV393234:MPV393239 MZR393234:MZR393239 NJN393234:NJN393239 NTJ393234:NTJ393239 ODF393234:ODF393239 ONB393234:ONB393239 OWX393234:OWX393239 PGT393234:PGT393239 PQP393234:PQP393239 QAL393234:QAL393239 QKH393234:QKH393239 QUD393234:QUD393239 RDZ393234:RDZ393239 RNV393234:RNV393239 RXR393234:RXR393239 SHN393234:SHN393239 SRJ393234:SRJ393239 TBF393234:TBF393239 TLB393234:TLB393239 TUX393234:TUX393239 UET393234:UET393239 UOP393234:UOP393239 UYL393234:UYL393239 VIH393234:VIH393239 VSD393234:VSD393239 WBZ393234:WBZ393239 WLV393234:WLV393239 WVR393234:WVR393239 J458770:J458775 JF458770:JF458775 TB458770:TB458775 ACX458770:ACX458775 AMT458770:AMT458775 AWP458770:AWP458775 BGL458770:BGL458775 BQH458770:BQH458775 CAD458770:CAD458775 CJZ458770:CJZ458775 CTV458770:CTV458775 DDR458770:DDR458775 DNN458770:DNN458775 DXJ458770:DXJ458775 EHF458770:EHF458775 ERB458770:ERB458775 FAX458770:FAX458775 FKT458770:FKT458775 FUP458770:FUP458775 GEL458770:GEL458775 GOH458770:GOH458775 GYD458770:GYD458775 HHZ458770:HHZ458775 HRV458770:HRV458775 IBR458770:IBR458775 ILN458770:ILN458775 IVJ458770:IVJ458775 JFF458770:JFF458775 JPB458770:JPB458775 JYX458770:JYX458775 KIT458770:KIT458775 KSP458770:KSP458775 LCL458770:LCL458775 LMH458770:LMH458775 LWD458770:LWD458775 MFZ458770:MFZ458775 MPV458770:MPV458775 MZR458770:MZR458775 NJN458770:NJN458775 NTJ458770:NTJ458775 ODF458770:ODF458775 ONB458770:ONB458775 OWX458770:OWX458775 PGT458770:PGT458775 PQP458770:PQP458775 QAL458770:QAL458775 QKH458770:QKH458775 QUD458770:QUD458775 RDZ458770:RDZ458775 RNV458770:RNV458775 RXR458770:RXR458775 SHN458770:SHN458775 SRJ458770:SRJ458775 TBF458770:TBF458775 TLB458770:TLB458775 TUX458770:TUX458775 UET458770:UET458775 UOP458770:UOP458775 UYL458770:UYL458775 VIH458770:VIH458775 VSD458770:VSD458775 WBZ458770:WBZ458775 WLV458770:WLV458775 WVR458770:WVR458775 J524306:J524311 JF524306:JF524311 TB524306:TB524311 ACX524306:ACX524311 AMT524306:AMT524311 AWP524306:AWP524311 BGL524306:BGL524311 BQH524306:BQH524311 CAD524306:CAD524311 CJZ524306:CJZ524311 CTV524306:CTV524311 DDR524306:DDR524311 DNN524306:DNN524311 DXJ524306:DXJ524311 EHF524306:EHF524311 ERB524306:ERB524311 FAX524306:FAX524311 FKT524306:FKT524311 FUP524306:FUP524311 GEL524306:GEL524311 GOH524306:GOH524311 GYD524306:GYD524311 HHZ524306:HHZ524311 HRV524306:HRV524311 IBR524306:IBR524311 ILN524306:ILN524311 IVJ524306:IVJ524311 JFF524306:JFF524311 JPB524306:JPB524311 JYX524306:JYX524311 KIT524306:KIT524311 KSP524306:KSP524311 LCL524306:LCL524311 LMH524306:LMH524311 LWD524306:LWD524311 MFZ524306:MFZ524311 MPV524306:MPV524311 MZR524306:MZR524311 NJN524306:NJN524311 NTJ524306:NTJ524311 ODF524306:ODF524311 ONB524306:ONB524311 OWX524306:OWX524311 PGT524306:PGT524311 PQP524306:PQP524311 QAL524306:QAL524311 QKH524306:QKH524311 QUD524306:QUD524311 RDZ524306:RDZ524311 RNV524306:RNV524311 RXR524306:RXR524311 SHN524306:SHN524311 SRJ524306:SRJ524311 TBF524306:TBF524311 TLB524306:TLB524311 TUX524306:TUX524311 UET524306:UET524311 UOP524306:UOP524311 UYL524306:UYL524311 VIH524306:VIH524311 VSD524306:VSD524311 WBZ524306:WBZ524311 WLV524306:WLV524311 WVR524306:WVR524311 J589842:J589847 JF589842:JF589847 TB589842:TB589847 ACX589842:ACX589847 AMT589842:AMT589847 AWP589842:AWP589847 BGL589842:BGL589847 BQH589842:BQH589847 CAD589842:CAD589847 CJZ589842:CJZ589847 CTV589842:CTV589847 DDR589842:DDR589847 DNN589842:DNN589847 DXJ589842:DXJ589847 EHF589842:EHF589847 ERB589842:ERB589847 FAX589842:FAX589847 FKT589842:FKT589847 FUP589842:FUP589847 GEL589842:GEL589847 GOH589842:GOH589847 GYD589842:GYD589847 HHZ589842:HHZ589847 HRV589842:HRV589847 IBR589842:IBR589847 ILN589842:ILN589847 IVJ589842:IVJ589847 JFF589842:JFF589847 JPB589842:JPB589847 JYX589842:JYX589847 KIT589842:KIT589847 KSP589842:KSP589847 LCL589842:LCL589847 LMH589842:LMH589847 LWD589842:LWD589847 MFZ589842:MFZ589847 MPV589842:MPV589847 MZR589842:MZR589847 NJN589842:NJN589847 NTJ589842:NTJ589847 ODF589842:ODF589847 ONB589842:ONB589847 OWX589842:OWX589847 PGT589842:PGT589847 PQP589842:PQP589847 QAL589842:QAL589847 QKH589842:QKH589847 QUD589842:QUD589847 RDZ589842:RDZ589847 RNV589842:RNV589847 RXR589842:RXR589847 SHN589842:SHN589847 SRJ589842:SRJ589847 TBF589842:TBF589847 TLB589842:TLB589847 TUX589842:TUX589847 UET589842:UET589847 UOP589842:UOP589847 UYL589842:UYL589847 VIH589842:VIH589847 VSD589842:VSD589847 WBZ589842:WBZ589847 WLV589842:WLV589847 WVR589842:WVR589847 J655378:J655383 JF655378:JF655383 TB655378:TB655383 ACX655378:ACX655383 AMT655378:AMT655383 AWP655378:AWP655383 BGL655378:BGL655383 BQH655378:BQH655383 CAD655378:CAD655383 CJZ655378:CJZ655383 CTV655378:CTV655383 DDR655378:DDR655383 DNN655378:DNN655383 DXJ655378:DXJ655383 EHF655378:EHF655383 ERB655378:ERB655383 FAX655378:FAX655383 FKT655378:FKT655383 FUP655378:FUP655383 GEL655378:GEL655383 GOH655378:GOH655383 GYD655378:GYD655383 HHZ655378:HHZ655383 HRV655378:HRV655383 IBR655378:IBR655383 ILN655378:ILN655383 IVJ655378:IVJ655383 JFF655378:JFF655383 JPB655378:JPB655383 JYX655378:JYX655383 KIT655378:KIT655383 KSP655378:KSP655383 LCL655378:LCL655383 LMH655378:LMH655383 LWD655378:LWD655383 MFZ655378:MFZ655383 MPV655378:MPV655383 MZR655378:MZR655383 NJN655378:NJN655383 NTJ655378:NTJ655383 ODF655378:ODF655383 ONB655378:ONB655383 OWX655378:OWX655383 PGT655378:PGT655383 PQP655378:PQP655383 QAL655378:QAL655383 QKH655378:QKH655383 QUD655378:QUD655383 RDZ655378:RDZ655383 RNV655378:RNV655383 RXR655378:RXR655383 SHN655378:SHN655383 SRJ655378:SRJ655383 TBF655378:TBF655383 TLB655378:TLB655383 TUX655378:TUX655383 UET655378:UET655383 UOP655378:UOP655383 UYL655378:UYL655383 VIH655378:VIH655383 VSD655378:VSD655383 WBZ655378:WBZ655383 WLV655378:WLV655383 WVR655378:WVR655383 J720914:J720919 JF720914:JF720919 TB720914:TB720919 ACX720914:ACX720919 AMT720914:AMT720919 AWP720914:AWP720919 BGL720914:BGL720919 BQH720914:BQH720919 CAD720914:CAD720919 CJZ720914:CJZ720919 CTV720914:CTV720919 DDR720914:DDR720919 DNN720914:DNN720919 DXJ720914:DXJ720919 EHF720914:EHF720919 ERB720914:ERB720919 FAX720914:FAX720919 FKT720914:FKT720919 FUP720914:FUP720919 GEL720914:GEL720919 GOH720914:GOH720919 GYD720914:GYD720919 HHZ720914:HHZ720919 HRV720914:HRV720919 IBR720914:IBR720919 ILN720914:ILN720919 IVJ720914:IVJ720919 JFF720914:JFF720919 JPB720914:JPB720919 JYX720914:JYX720919 KIT720914:KIT720919 KSP720914:KSP720919 LCL720914:LCL720919 LMH720914:LMH720919 LWD720914:LWD720919 MFZ720914:MFZ720919 MPV720914:MPV720919 MZR720914:MZR720919 NJN720914:NJN720919 NTJ720914:NTJ720919 ODF720914:ODF720919 ONB720914:ONB720919 OWX720914:OWX720919 PGT720914:PGT720919 PQP720914:PQP720919 QAL720914:QAL720919 QKH720914:QKH720919 QUD720914:QUD720919 RDZ720914:RDZ720919 RNV720914:RNV720919 RXR720914:RXR720919 SHN720914:SHN720919 SRJ720914:SRJ720919 TBF720914:TBF720919 TLB720914:TLB720919 TUX720914:TUX720919 UET720914:UET720919 UOP720914:UOP720919 UYL720914:UYL720919 VIH720914:VIH720919 VSD720914:VSD720919 WBZ720914:WBZ720919 WLV720914:WLV720919 WVR720914:WVR720919 J786450:J786455 JF786450:JF786455 TB786450:TB786455 ACX786450:ACX786455 AMT786450:AMT786455 AWP786450:AWP786455 BGL786450:BGL786455 BQH786450:BQH786455 CAD786450:CAD786455 CJZ786450:CJZ786455 CTV786450:CTV786455 DDR786450:DDR786455 DNN786450:DNN786455 DXJ786450:DXJ786455 EHF786450:EHF786455 ERB786450:ERB786455 FAX786450:FAX786455 FKT786450:FKT786455 FUP786450:FUP786455 GEL786450:GEL786455 GOH786450:GOH786455 GYD786450:GYD786455 HHZ786450:HHZ786455 HRV786450:HRV786455 IBR786450:IBR786455 ILN786450:ILN786455 IVJ786450:IVJ786455 JFF786450:JFF786455 JPB786450:JPB786455 JYX786450:JYX786455 KIT786450:KIT786455 KSP786450:KSP786455 LCL786450:LCL786455 LMH786450:LMH786455 LWD786450:LWD786455 MFZ786450:MFZ786455 MPV786450:MPV786455 MZR786450:MZR786455 NJN786450:NJN786455 NTJ786450:NTJ786455 ODF786450:ODF786455 ONB786450:ONB786455 OWX786450:OWX786455 PGT786450:PGT786455 PQP786450:PQP786455 QAL786450:QAL786455 QKH786450:QKH786455 QUD786450:QUD786455 RDZ786450:RDZ786455 RNV786450:RNV786455 RXR786450:RXR786455 SHN786450:SHN786455 SRJ786450:SRJ786455 TBF786450:TBF786455 TLB786450:TLB786455 TUX786450:TUX786455 UET786450:UET786455 UOP786450:UOP786455 UYL786450:UYL786455 VIH786450:VIH786455 VSD786450:VSD786455 WBZ786450:WBZ786455 WLV786450:WLV786455 WVR786450:WVR786455 J851986:J851991 JF851986:JF851991 TB851986:TB851991 ACX851986:ACX851991 AMT851986:AMT851991 AWP851986:AWP851991 BGL851986:BGL851991 BQH851986:BQH851991 CAD851986:CAD851991 CJZ851986:CJZ851991 CTV851986:CTV851991 DDR851986:DDR851991 DNN851986:DNN851991 DXJ851986:DXJ851991 EHF851986:EHF851991 ERB851986:ERB851991 FAX851986:FAX851991 FKT851986:FKT851991 FUP851986:FUP851991 GEL851986:GEL851991 GOH851986:GOH851991 GYD851986:GYD851991 HHZ851986:HHZ851991 HRV851986:HRV851991 IBR851986:IBR851991 ILN851986:ILN851991 IVJ851986:IVJ851991 JFF851986:JFF851991 JPB851986:JPB851991 JYX851986:JYX851991 KIT851986:KIT851991 KSP851986:KSP851991 LCL851986:LCL851991 LMH851986:LMH851991 LWD851986:LWD851991 MFZ851986:MFZ851991 MPV851986:MPV851991 MZR851986:MZR851991 NJN851986:NJN851991 NTJ851986:NTJ851991 ODF851986:ODF851991 ONB851986:ONB851991 OWX851986:OWX851991 PGT851986:PGT851991 PQP851986:PQP851991 QAL851986:QAL851991 QKH851986:QKH851991 QUD851986:QUD851991 RDZ851986:RDZ851991 RNV851986:RNV851991 RXR851986:RXR851991 SHN851986:SHN851991 SRJ851986:SRJ851991 TBF851986:TBF851991 TLB851986:TLB851991 TUX851986:TUX851991 UET851986:UET851991 UOP851986:UOP851991 UYL851986:UYL851991 VIH851986:VIH851991 VSD851986:VSD851991 WBZ851986:WBZ851991 WLV851986:WLV851991 WVR851986:WVR851991 J917522:J917527 JF917522:JF917527 TB917522:TB917527 ACX917522:ACX917527 AMT917522:AMT917527 AWP917522:AWP917527 BGL917522:BGL917527 BQH917522:BQH917527 CAD917522:CAD917527 CJZ917522:CJZ917527 CTV917522:CTV917527 DDR917522:DDR917527 DNN917522:DNN917527 DXJ917522:DXJ917527 EHF917522:EHF917527 ERB917522:ERB917527 FAX917522:FAX917527 FKT917522:FKT917527 FUP917522:FUP917527 GEL917522:GEL917527 GOH917522:GOH917527 GYD917522:GYD917527 HHZ917522:HHZ917527 HRV917522:HRV917527 IBR917522:IBR917527 ILN917522:ILN917527 IVJ917522:IVJ917527 JFF917522:JFF917527 JPB917522:JPB917527 JYX917522:JYX917527 KIT917522:KIT917527 KSP917522:KSP917527 LCL917522:LCL917527 LMH917522:LMH917527 LWD917522:LWD917527 MFZ917522:MFZ917527 MPV917522:MPV917527 MZR917522:MZR917527 NJN917522:NJN917527 NTJ917522:NTJ917527 ODF917522:ODF917527 ONB917522:ONB917527 OWX917522:OWX917527 PGT917522:PGT917527 PQP917522:PQP917527 QAL917522:QAL917527 QKH917522:QKH917527 QUD917522:QUD917527 RDZ917522:RDZ917527 RNV917522:RNV917527 RXR917522:RXR917527 SHN917522:SHN917527 SRJ917522:SRJ917527 TBF917522:TBF917527 TLB917522:TLB917527 TUX917522:TUX917527 UET917522:UET917527 UOP917522:UOP917527 UYL917522:UYL917527 VIH917522:VIH917527 VSD917522:VSD917527 WBZ917522:WBZ917527 WLV917522:WLV917527 WVR917522:WVR917527 J983058:J983063 JF983058:JF983063 TB983058:TB983063 ACX983058:ACX983063 AMT983058:AMT983063 AWP983058:AWP983063 BGL983058:BGL983063 BQH983058:BQH983063 CAD983058:CAD983063 CJZ983058:CJZ983063 CTV983058:CTV983063 DDR983058:DDR983063 DNN983058:DNN983063 DXJ983058:DXJ983063 EHF983058:EHF983063 ERB983058:ERB983063 FAX983058:FAX983063 FKT983058:FKT983063 FUP983058:FUP983063 GEL983058:GEL983063 GOH983058:GOH983063 GYD983058:GYD983063 HHZ983058:HHZ983063 HRV983058:HRV983063 IBR983058:IBR983063 ILN983058:ILN983063 IVJ983058:IVJ983063 JFF983058:JFF983063 JPB983058:JPB983063 JYX983058:JYX983063 KIT983058:KIT983063 KSP983058:KSP983063 LCL983058:LCL983063 LMH983058:LMH983063 LWD983058:LWD983063 MFZ983058:MFZ983063 MPV983058:MPV983063 MZR983058:MZR983063 NJN983058:NJN983063 NTJ983058:NTJ983063 ODF983058:ODF983063 ONB983058:ONB983063 OWX983058:OWX983063 PGT983058:PGT983063 PQP983058:PQP983063 QAL983058:QAL983063 QKH983058:QKH983063 QUD983058:QUD983063 RDZ983058:RDZ983063 RNV983058:RNV983063 RXR983058:RXR983063 SHN983058:SHN983063 SRJ983058:SRJ983063 TBF983058:TBF983063 TLB983058:TLB983063 TUX983058:TUX983063 UET983058:UET983063 UOP983058:UOP983063 UYL983058:UYL983063 VIH983058:VIH983063 VSD983058:VSD983063 WBZ983058:WBZ983063 WLV983058:WLV983063 WVR983058:WVR983063">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6:J65546 JE65546:JF65546 TA65546:TB65546 ACW65546:ACX65546 AMS65546:AMT65546 AWO65546:AWP65546 BGK65546:BGL65546 BQG65546:BQH65546 CAC65546:CAD65546 CJY65546:CJZ65546 CTU65546:CTV65546 DDQ65546:DDR65546 DNM65546:DNN65546 DXI65546:DXJ65546 EHE65546:EHF65546 ERA65546:ERB65546 FAW65546:FAX65546 FKS65546:FKT65546 FUO65546:FUP65546 GEK65546:GEL65546 GOG65546:GOH65546 GYC65546:GYD65546 HHY65546:HHZ65546 HRU65546:HRV65546 IBQ65546:IBR65546 ILM65546:ILN65546 IVI65546:IVJ65546 JFE65546:JFF65546 JPA65546:JPB65546 JYW65546:JYX65546 KIS65546:KIT65546 KSO65546:KSP65546 LCK65546:LCL65546 LMG65546:LMH65546 LWC65546:LWD65546 MFY65546:MFZ65546 MPU65546:MPV65546 MZQ65546:MZR65546 NJM65546:NJN65546 NTI65546:NTJ65546 ODE65546:ODF65546 ONA65546:ONB65546 OWW65546:OWX65546 PGS65546:PGT65546 PQO65546:PQP65546 QAK65546:QAL65546 QKG65546:QKH65546 QUC65546:QUD65546 RDY65546:RDZ65546 RNU65546:RNV65546 RXQ65546:RXR65546 SHM65546:SHN65546 SRI65546:SRJ65546 TBE65546:TBF65546 TLA65546:TLB65546 TUW65546:TUX65546 UES65546:UET65546 UOO65546:UOP65546 UYK65546:UYL65546 VIG65546:VIH65546 VSC65546:VSD65546 WBY65546:WBZ65546 WLU65546:WLV65546 WVQ65546:WVR65546 I131082:J131082 JE131082:JF131082 TA131082:TB131082 ACW131082:ACX131082 AMS131082:AMT131082 AWO131082:AWP131082 BGK131082:BGL131082 BQG131082:BQH131082 CAC131082:CAD131082 CJY131082:CJZ131082 CTU131082:CTV131082 DDQ131082:DDR131082 DNM131082:DNN131082 DXI131082:DXJ131082 EHE131082:EHF131082 ERA131082:ERB131082 FAW131082:FAX131082 FKS131082:FKT131082 FUO131082:FUP131082 GEK131082:GEL131082 GOG131082:GOH131082 GYC131082:GYD131082 HHY131082:HHZ131082 HRU131082:HRV131082 IBQ131082:IBR131082 ILM131082:ILN131082 IVI131082:IVJ131082 JFE131082:JFF131082 JPA131082:JPB131082 JYW131082:JYX131082 KIS131082:KIT131082 KSO131082:KSP131082 LCK131082:LCL131082 LMG131082:LMH131082 LWC131082:LWD131082 MFY131082:MFZ131082 MPU131082:MPV131082 MZQ131082:MZR131082 NJM131082:NJN131082 NTI131082:NTJ131082 ODE131082:ODF131082 ONA131082:ONB131082 OWW131082:OWX131082 PGS131082:PGT131082 PQO131082:PQP131082 QAK131082:QAL131082 QKG131082:QKH131082 QUC131082:QUD131082 RDY131082:RDZ131082 RNU131082:RNV131082 RXQ131082:RXR131082 SHM131082:SHN131082 SRI131082:SRJ131082 TBE131082:TBF131082 TLA131082:TLB131082 TUW131082:TUX131082 UES131082:UET131082 UOO131082:UOP131082 UYK131082:UYL131082 VIG131082:VIH131082 VSC131082:VSD131082 WBY131082:WBZ131082 WLU131082:WLV131082 WVQ131082:WVR131082 I196618:J196618 JE196618:JF196618 TA196618:TB196618 ACW196618:ACX196618 AMS196618:AMT196618 AWO196618:AWP196618 BGK196618:BGL196618 BQG196618:BQH196618 CAC196618:CAD196618 CJY196618:CJZ196618 CTU196618:CTV196618 DDQ196618:DDR196618 DNM196618:DNN196618 DXI196618:DXJ196618 EHE196618:EHF196618 ERA196618:ERB196618 FAW196618:FAX196618 FKS196618:FKT196618 FUO196618:FUP196618 GEK196618:GEL196618 GOG196618:GOH196618 GYC196618:GYD196618 HHY196618:HHZ196618 HRU196618:HRV196618 IBQ196618:IBR196618 ILM196618:ILN196618 IVI196618:IVJ196618 JFE196618:JFF196618 JPA196618:JPB196618 JYW196618:JYX196618 KIS196618:KIT196618 KSO196618:KSP196618 LCK196618:LCL196618 LMG196618:LMH196618 LWC196618:LWD196618 MFY196618:MFZ196618 MPU196618:MPV196618 MZQ196618:MZR196618 NJM196618:NJN196618 NTI196618:NTJ196618 ODE196618:ODF196618 ONA196618:ONB196618 OWW196618:OWX196618 PGS196618:PGT196618 PQO196618:PQP196618 QAK196618:QAL196618 QKG196618:QKH196618 QUC196618:QUD196618 RDY196618:RDZ196618 RNU196618:RNV196618 RXQ196618:RXR196618 SHM196618:SHN196618 SRI196618:SRJ196618 TBE196618:TBF196618 TLA196618:TLB196618 TUW196618:TUX196618 UES196618:UET196618 UOO196618:UOP196618 UYK196618:UYL196618 VIG196618:VIH196618 VSC196618:VSD196618 WBY196618:WBZ196618 WLU196618:WLV196618 WVQ196618:WVR196618 I262154:J262154 JE262154:JF262154 TA262154:TB262154 ACW262154:ACX262154 AMS262154:AMT262154 AWO262154:AWP262154 BGK262154:BGL262154 BQG262154:BQH262154 CAC262154:CAD262154 CJY262154:CJZ262154 CTU262154:CTV262154 DDQ262154:DDR262154 DNM262154:DNN262154 DXI262154:DXJ262154 EHE262154:EHF262154 ERA262154:ERB262154 FAW262154:FAX262154 FKS262154:FKT262154 FUO262154:FUP262154 GEK262154:GEL262154 GOG262154:GOH262154 GYC262154:GYD262154 HHY262154:HHZ262154 HRU262154:HRV262154 IBQ262154:IBR262154 ILM262154:ILN262154 IVI262154:IVJ262154 JFE262154:JFF262154 JPA262154:JPB262154 JYW262154:JYX262154 KIS262154:KIT262154 KSO262154:KSP262154 LCK262154:LCL262154 LMG262154:LMH262154 LWC262154:LWD262154 MFY262154:MFZ262154 MPU262154:MPV262154 MZQ262154:MZR262154 NJM262154:NJN262154 NTI262154:NTJ262154 ODE262154:ODF262154 ONA262154:ONB262154 OWW262154:OWX262154 PGS262154:PGT262154 PQO262154:PQP262154 QAK262154:QAL262154 QKG262154:QKH262154 QUC262154:QUD262154 RDY262154:RDZ262154 RNU262154:RNV262154 RXQ262154:RXR262154 SHM262154:SHN262154 SRI262154:SRJ262154 TBE262154:TBF262154 TLA262154:TLB262154 TUW262154:TUX262154 UES262154:UET262154 UOO262154:UOP262154 UYK262154:UYL262154 VIG262154:VIH262154 VSC262154:VSD262154 WBY262154:WBZ262154 WLU262154:WLV262154 WVQ262154:WVR262154 I327690:J327690 JE327690:JF327690 TA327690:TB327690 ACW327690:ACX327690 AMS327690:AMT327690 AWO327690:AWP327690 BGK327690:BGL327690 BQG327690:BQH327690 CAC327690:CAD327690 CJY327690:CJZ327690 CTU327690:CTV327690 DDQ327690:DDR327690 DNM327690:DNN327690 DXI327690:DXJ327690 EHE327690:EHF327690 ERA327690:ERB327690 FAW327690:FAX327690 FKS327690:FKT327690 FUO327690:FUP327690 GEK327690:GEL327690 GOG327690:GOH327690 GYC327690:GYD327690 HHY327690:HHZ327690 HRU327690:HRV327690 IBQ327690:IBR327690 ILM327690:ILN327690 IVI327690:IVJ327690 JFE327690:JFF327690 JPA327690:JPB327690 JYW327690:JYX327690 KIS327690:KIT327690 KSO327690:KSP327690 LCK327690:LCL327690 LMG327690:LMH327690 LWC327690:LWD327690 MFY327690:MFZ327690 MPU327690:MPV327690 MZQ327690:MZR327690 NJM327690:NJN327690 NTI327690:NTJ327690 ODE327690:ODF327690 ONA327690:ONB327690 OWW327690:OWX327690 PGS327690:PGT327690 PQO327690:PQP327690 QAK327690:QAL327690 QKG327690:QKH327690 QUC327690:QUD327690 RDY327690:RDZ327690 RNU327690:RNV327690 RXQ327690:RXR327690 SHM327690:SHN327690 SRI327690:SRJ327690 TBE327690:TBF327690 TLA327690:TLB327690 TUW327690:TUX327690 UES327690:UET327690 UOO327690:UOP327690 UYK327690:UYL327690 VIG327690:VIH327690 VSC327690:VSD327690 WBY327690:WBZ327690 WLU327690:WLV327690 WVQ327690:WVR327690 I393226:J393226 JE393226:JF393226 TA393226:TB393226 ACW393226:ACX393226 AMS393226:AMT393226 AWO393226:AWP393226 BGK393226:BGL393226 BQG393226:BQH393226 CAC393226:CAD393226 CJY393226:CJZ393226 CTU393226:CTV393226 DDQ393226:DDR393226 DNM393226:DNN393226 DXI393226:DXJ393226 EHE393226:EHF393226 ERA393226:ERB393226 FAW393226:FAX393226 FKS393226:FKT393226 FUO393226:FUP393226 GEK393226:GEL393226 GOG393226:GOH393226 GYC393226:GYD393226 HHY393226:HHZ393226 HRU393226:HRV393226 IBQ393226:IBR393226 ILM393226:ILN393226 IVI393226:IVJ393226 JFE393226:JFF393226 JPA393226:JPB393226 JYW393226:JYX393226 KIS393226:KIT393226 KSO393226:KSP393226 LCK393226:LCL393226 LMG393226:LMH393226 LWC393226:LWD393226 MFY393226:MFZ393226 MPU393226:MPV393226 MZQ393226:MZR393226 NJM393226:NJN393226 NTI393226:NTJ393226 ODE393226:ODF393226 ONA393226:ONB393226 OWW393226:OWX393226 PGS393226:PGT393226 PQO393226:PQP393226 QAK393226:QAL393226 QKG393226:QKH393226 QUC393226:QUD393226 RDY393226:RDZ393226 RNU393226:RNV393226 RXQ393226:RXR393226 SHM393226:SHN393226 SRI393226:SRJ393226 TBE393226:TBF393226 TLA393226:TLB393226 TUW393226:TUX393226 UES393226:UET393226 UOO393226:UOP393226 UYK393226:UYL393226 VIG393226:VIH393226 VSC393226:VSD393226 WBY393226:WBZ393226 WLU393226:WLV393226 WVQ393226:WVR393226 I458762:J458762 JE458762:JF458762 TA458762:TB458762 ACW458762:ACX458762 AMS458762:AMT458762 AWO458762:AWP458762 BGK458762:BGL458762 BQG458762:BQH458762 CAC458762:CAD458762 CJY458762:CJZ458762 CTU458762:CTV458762 DDQ458762:DDR458762 DNM458762:DNN458762 DXI458762:DXJ458762 EHE458762:EHF458762 ERA458762:ERB458762 FAW458762:FAX458762 FKS458762:FKT458762 FUO458762:FUP458762 GEK458762:GEL458762 GOG458762:GOH458762 GYC458762:GYD458762 HHY458762:HHZ458762 HRU458762:HRV458762 IBQ458762:IBR458762 ILM458762:ILN458762 IVI458762:IVJ458762 JFE458762:JFF458762 JPA458762:JPB458762 JYW458762:JYX458762 KIS458762:KIT458762 KSO458762:KSP458762 LCK458762:LCL458762 LMG458762:LMH458762 LWC458762:LWD458762 MFY458762:MFZ458762 MPU458762:MPV458762 MZQ458762:MZR458762 NJM458762:NJN458762 NTI458762:NTJ458762 ODE458762:ODF458762 ONA458762:ONB458762 OWW458762:OWX458762 PGS458762:PGT458762 PQO458762:PQP458762 QAK458762:QAL458762 QKG458762:QKH458762 QUC458762:QUD458762 RDY458762:RDZ458762 RNU458762:RNV458762 RXQ458762:RXR458762 SHM458762:SHN458762 SRI458762:SRJ458762 TBE458762:TBF458762 TLA458762:TLB458762 TUW458762:TUX458762 UES458762:UET458762 UOO458762:UOP458762 UYK458762:UYL458762 VIG458762:VIH458762 VSC458762:VSD458762 WBY458762:WBZ458762 WLU458762:WLV458762 WVQ458762:WVR458762 I524298:J524298 JE524298:JF524298 TA524298:TB524298 ACW524298:ACX524298 AMS524298:AMT524298 AWO524298:AWP524298 BGK524298:BGL524298 BQG524298:BQH524298 CAC524298:CAD524298 CJY524298:CJZ524298 CTU524298:CTV524298 DDQ524298:DDR524298 DNM524298:DNN524298 DXI524298:DXJ524298 EHE524298:EHF524298 ERA524298:ERB524298 FAW524298:FAX524298 FKS524298:FKT524298 FUO524298:FUP524298 GEK524298:GEL524298 GOG524298:GOH524298 GYC524298:GYD524298 HHY524298:HHZ524298 HRU524298:HRV524298 IBQ524298:IBR524298 ILM524298:ILN524298 IVI524298:IVJ524298 JFE524298:JFF524298 JPA524298:JPB524298 JYW524298:JYX524298 KIS524298:KIT524298 KSO524298:KSP524298 LCK524298:LCL524298 LMG524298:LMH524298 LWC524298:LWD524298 MFY524298:MFZ524298 MPU524298:MPV524298 MZQ524298:MZR524298 NJM524298:NJN524298 NTI524298:NTJ524298 ODE524298:ODF524298 ONA524298:ONB524298 OWW524298:OWX524298 PGS524298:PGT524298 PQO524298:PQP524298 QAK524298:QAL524298 QKG524298:QKH524298 QUC524298:QUD524298 RDY524298:RDZ524298 RNU524298:RNV524298 RXQ524298:RXR524298 SHM524298:SHN524298 SRI524298:SRJ524298 TBE524298:TBF524298 TLA524298:TLB524298 TUW524298:TUX524298 UES524298:UET524298 UOO524298:UOP524298 UYK524298:UYL524298 VIG524298:VIH524298 VSC524298:VSD524298 WBY524298:WBZ524298 WLU524298:WLV524298 WVQ524298:WVR524298 I589834:J589834 JE589834:JF589834 TA589834:TB589834 ACW589834:ACX589834 AMS589834:AMT589834 AWO589834:AWP589834 BGK589834:BGL589834 BQG589834:BQH589834 CAC589834:CAD589834 CJY589834:CJZ589834 CTU589834:CTV589834 DDQ589834:DDR589834 DNM589834:DNN589834 DXI589834:DXJ589834 EHE589834:EHF589834 ERA589834:ERB589834 FAW589834:FAX589834 FKS589834:FKT589834 FUO589834:FUP589834 GEK589834:GEL589834 GOG589834:GOH589834 GYC589834:GYD589834 HHY589834:HHZ589834 HRU589834:HRV589834 IBQ589834:IBR589834 ILM589834:ILN589834 IVI589834:IVJ589834 JFE589834:JFF589834 JPA589834:JPB589834 JYW589834:JYX589834 KIS589834:KIT589834 KSO589834:KSP589834 LCK589834:LCL589834 LMG589834:LMH589834 LWC589834:LWD589834 MFY589834:MFZ589834 MPU589834:MPV589834 MZQ589834:MZR589834 NJM589834:NJN589834 NTI589834:NTJ589834 ODE589834:ODF589834 ONA589834:ONB589834 OWW589834:OWX589834 PGS589834:PGT589834 PQO589834:PQP589834 QAK589834:QAL589834 QKG589834:QKH589834 QUC589834:QUD589834 RDY589834:RDZ589834 RNU589834:RNV589834 RXQ589834:RXR589834 SHM589834:SHN589834 SRI589834:SRJ589834 TBE589834:TBF589834 TLA589834:TLB589834 TUW589834:TUX589834 UES589834:UET589834 UOO589834:UOP589834 UYK589834:UYL589834 VIG589834:VIH589834 VSC589834:VSD589834 WBY589834:WBZ589834 WLU589834:WLV589834 WVQ589834:WVR589834 I655370:J655370 JE655370:JF655370 TA655370:TB655370 ACW655370:ACX655370 AMS655370:AMT655370 AWO655370:AWP655370 BGK655370:BGL655370 BQG655370:BQH655370 CAC655370:CAD655370 CJY655370:CJZ655370 CTU655370:CTV655370 DDQ655370:DDR655370 DNM655370:DNN655370 DXI655370:DXJ655370 EHE655370:EHF655370 ERA655370:ERB655370 FAW655370:FAX655370 FKS655370:FKT655370 FUO655370:FUP655370 GEK655370:GEL655370 GOG655370:GOH655370 GYC655370:GYD655370 HHY655370:HHZ655370 HRU655370:HRV655370 IBQ655370:IBR655370 ILM655370:ILN655370 IVI655370:IVJ655370 JFE655370:JFF655370 JPA655370:JPB655370 JYW655370:JYX655370 KIS655370:KIT655370 KSO655370:KSP655370 LCK655370:LCL655370 LMG655370:LMH655370 LWC655370:LWD655370 MFY655370:MFZ655370 MPU655370:MPV655370 MZQ655370:MZR655370 NJM655370:NJN655370 NTI655370:NTJ655370 ODE655370:ODF655370 ONA655370:ONB655370 OWW655370:OWX655370 PGS655370:PGT655370 PQO655370:PQP655370 QAK655370:QAL655370 QKG655370:QKH655370 QUC655370:QUD655370 RDY655370:RDZ655370 RNU655370:RNV655370 RXQ655370:RXR655370 SHM655370:SHN655370 SRI655370:SRJ655370 TBE655370:TBF655370 TLA655370:TLB655370 TUW655370:TUX655370 UES655370:UET655370 UOO655370:UOP655370 UYK655370:UYL655370 VIG655370:VIH655370 VSC655370:VSD655370 WBY655370:WBZ655370 WLU655370:WLV655370 WVQ655370:WVR655370 I720906:J720906 JE720906:JF720906 TA720906:TB720906 ACW720906:ACX720906 AMS720906:AMT720906 AWO720906:AWP720906 BGK720906:BGL720906 BQG720906:BQH720906 CAC720906:CAD720906 CJY720906:CJZ720906 CTU720906:CTV720906 DDQ720906:DDR720906 DNM720906:DNN720906 DXI720906:DXJ720906 EHE720906:EHF720906 ERA720906:ERB720906 FAW720906:FAX720906 FKS720906:FKT720906 FUO720906:FUP720906 GEK720906:GEL720906 GOG720906:GOH720906 GYC720906:GYD720906 HHY720906:HHZ720906 HRU720906:HRV720906 IBQ720906:IBR720906 ILM720906:ILN720906 IVI720906:IVJ720906 JFE720906:JFF720906 JPA720906:JPB720906 JYW720906:JYX720906 KIS720906:KIT720906 KSO720906:KSP720906 LCK720906:LCL720906 LMG720906:LMH720906 LWC720906:LWD720906 MFY720906:MFZ720906 MPU720906:MPV720906 MZQ720906:MZR720906 NJM720906:NJN720906 NTI720906:NTJ720906 ODE720906:ODF720906 ONA720906:ONB720906 OWW720906:OWX720906 PGS720906:PGT720906 PQO720906:PQP720906 QAK720906:QAL720906 QKG720906:QKH720906 QUC720906:QUD720906 RDY720906:RDZ720906 RNU720906:RNV720906 RXQ720906:RXR720906 SHM720906:SHN720906 SRI720906:SRJ720906 TBE720906:TBF720906 TLA720906:TLB720906 TUW720906:TUX720906 UES720906:UET720906 UOO720906:UOP720906 UYK720906:UYL720906 VIG720906:VIH720906 VSC720906:VSD720906 WBY720906:WBZ720906 WLU720906:WLV720906 WVQ720906:WVR720906 I786442:J786442 JE786442:JF786442 TA786442:TB786442 ACW786442:ACX786442 AMS786442:AMT786442 AWO786442:AWP786442 BGK786442:BGL786442 BQG786442:BQH786442 CAC786442:CAD786442 CJY786442:CJZ786442 CTU786442:CTV786442 DDQ786442:DDR786442 DNM786442:DNN786442 DXI786442:DXJ786442 EHE786442:EHF786442 ERA786442:ERB786442 FAW786442:FAX786442 FKS786442:FKT786442 FUO786442:FUP786442 GEK786442:GEL786442 GOG786442:GOH786442 GYC786442:GYD786442 HHY786442:HHZ786442 HRU786442:HRV786442 IBQ786442:IBR786442 ILM786442:ILN786442 IVI786442:IVJ786442 JFE786442:JFF786442 JPA786442:JPB786442 JYW786442:JYX786442 KIS786442:KIT786442 KSO786442:KSP786442 LCK786442:LCL786442 LMG786442:LMH786442 LWC786442:LWD786442 MFY786442:MFZ786442 MPU786442:MPV786442 MZQ786442:MZR786442 NJM786442:NJN786442 NTI786442:NTJ786442 ODE786442:ODF786442 ONA786442:ONB786442 OWW786442:OWX786442 PGS786442:PGT786442 PQO786442:PQP786442 QAK786442:QAL786442 QKG786442:QKH786442 QUC786442:QUD786442 RDY786442:RDZ786442 RNU786442:RNV786442 RXQ786442:RXR786442 SHM786442:SHN786442 SRI786442:SRJ786442 TBE786442:TBF786442 TLA786442:TLB786442 TUW786442:TUX786442 UES786442:UET786442 UOO786442:UOP786442 UYK786442:UYL786442 VIG786442:VIH786442 VSC786442:VSD786442 WBY786442:WBZ786442 WLU786442:WLV786442 WVQ786442:WVR786442 I851978:J851978 JE851978:JF851978 TA851978:TB851978 ACW851978:ACX851978 AMS851978:AMT851978 AWO851978:AWP851978 BGK851978:BGL851978 BQG851978:BQH851978 CAC851978:CAD851978 CJY851978:CJZ851978 CTU851978:CTV851978 DDQ851978:DDR851978 DNM851978:DNN851978 DXI851978:DXJ851978 EHE851978:EHF851978 ERA851978:ERB851978 FAW851978:FAX851978 FKS851978:FKT851978 FUO851978:FUP851978 GEK851978:GEL851978 GOG851978:GOH851978 GYC851978:GYD851978 HHY851978:HHZ851978 HRU851978:HRV851978 IBQ851978:IBR851978 ILM851978:ILN851978 IVI851978:IVJ851978 JFE851978:JFF851978 JPA851978:JPB851978 JYW851978:JYX851978 KIS851978:KIT851978 KSO851978:KSP851978 LCK851978:LCL851978 LMG851978:LMH851978 LWC851978:LWD851978 MFY851978:MFZ851978 MPU851978:MPV851978 MZQ851978:MZR851978 NJM851978:NJN851978 NTI851978:NTJ851978 ODE851978:ODF851978 ONA851978:ONB851978 OWW851978:OWX851978 PGS851978:PGT851978 PQO851978:PQP851978 QAK851978:QAL851978 QKG851978:QKH851978 QUC851978:QUD851978 RDY851978:RDZ851978 RNU851978:RNV851978 RXQ851978:RXR851978 SHM851978:SHN851978 SRI851978:SRJ851978 TBE851978:TBF851978 TLA851978:TLB851978 TUW851978:TUX851978 UES851978:UET851978 UOO851978:UOP851978 UYK851978:UYL851978 VIG851978:VIH851978 VSC851978:VSD851978 WBY851978:WBZ851978 WLU851978:WLV851978 WVQ851978:WVR851978 I917514:J917514 JE917514:JF917514 TA917514:TB917514 ACW917514:ACX917514 AMS917514:AMT917514 AWO917514:AWP917514 BGK917514:BGL917514 BQG917514:BQH917514 CAC917514:CAD917514 CJY917514:CJZ917514 CTU917514:CTV917514 DDQ917514:DDR917514 DNM917514:DNN917514 DXI917514:DXJ917514 EHE917514:EHF917514 ERA917514:ERB917514 FAW917514:FAX917514 FKS917514:FKT917514 FUO917514:FUP917514 GEK917514:GEL917514 GOG917514:GOH917514 GYC917514:GYD917514 HHY917514:HHZ917514 HRU917514:HRV917514 IBQ917514:IBR917514 ILM917514:ILN917514 IVI917514:IVJ917514 JFE917514:JFF917514 JPA917514:JPB917514 JYW917514:JYX917514 KIS917514:KIT917514 KSO917514:KSP917514 LCK917514:LCL917514 LMG917514:LMH917514 LWC917514:LWD917514 MFY917514:MFZ917514 MPU917514:MPV917514 MZQ917514:MZR917514 NJM917514:NJN917514 NTI917514:NTJ917514 ODE917514:ODF917514 ONA917514:ONB917514 OWW917514:OWX917514 PGS917514:PGT917514 PQO917514:PQP917514 QAK917514:QAL917514 QKG917514:QKH917514 QUC917514:QUD917514 RDY917514:RDZ917514 RNU917514:RNV917514 RXQ917514:RXR917514 SHM917514:SHN917514 SRI917514:SRJ917514 TBE917514:TBF917514 TLA917514:TLB917514 TUW917514:TUX917514 UES917514:UET917514 UOO917514:UOP917514 UYK917514:UYL917514 VIG917514:VIH917514 VSC917514:VSD917514 WBY917514:WBZ917514 WLU917514:WLV917514 WVQ917514:WVR917514 I983050:J983050 JE983050:JF983050 TA983050:TB983050 ACW983050:ACX983050 AMS983050:AMT983050 AWO983050:AWP983050 BGK983050:BGL983050 BQG983050:BQH983050 CAC983050:CAD983050 CJY983050:CJZ983050 CTU983050:CTV983050 DDQ983050:DDR983050 DNM983050:DNN983050 DXI983050:DXJ983050 EHE983050:EHF983050 ERA983050:ERB983050 FAW983050:FAX983050 FKS983050:FKT983050 FUO983050:FUP983050 GEK983050:GEL983050 GOG983050:GOH983050 GYC983050:GYD983050 HHY983050:HHZ983050 HRU983050:HRV983050 IBQ983050:IBR983050 ILM983050:ILN983050 IVI983050:IVJ983050 JFE983050:JFF983050 JPA983050:JPB983050 JYW983050:JYX983050 KIS983050:KIT983050 KSO983050:KSP983050 LCK983050:LCL983050 LMG983050:LMH983050 LWC983050:LWD983050 MFY983050:MFZ983050 MPU983050:MPV983050 MZQ983050:MZR983050 NJM983050:NJN983050 NTI983050:NTJ983050 ODE983050:ODF983050 ONA983050:ONB983050 OWW983050:OWX983050 PGS983050:PGT983050 PQO983050:PQP983050 QAK983050:QAL983050 QKG983050:QKH983050 QUC983050:QUD983050 RDY983050:RDZ983050 RNU983050:RNV983050 RXQ983050:RXR983050 SHM983050:SHN983050 SRI983050:SRJ983050 TBE983050:TBF983050 TLA983050:TLB983050 TUW983050:TUX983050 UES983050:UET983050 UOO983050:UOP983050 UYK983050:UYL983050 VIG983050:VIH983050 VSC983050:VSD983050 WBY983050:WBZ983050 WLU983050:WLV983050 WVQ983050:WVR983050">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1</formula2>
    </dataValidation>
  </dataValidations>
  <pageMargins left="0.511811024" right="0.511811024" top="0.78740157499999996" bottom="0.78740157499999996" header="0.31496062000000002" footer="0.31496062000000002"/>
  <pageSetup paperSize="9" scale="56" orientation="portrait"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24"/>
  <sheetViews>
    <sheetView view="pageBreakPreview" zoomScaleNormal="100" zoomScaleSheetLayoutView="100" workbookViewId="0">
      <selection activeCell="G28" sqref="G28"/>
    </sheetView>
  </sheetViews>
  <sheetFormatPr defaultRowHeight="21" customHeight="1" outlineLevelRow="1" x14ac:dyDescent="0.25"/>
  <cols>
    <col min="1" max="1" width="7.7109375" style="12" customWidth="1"/>
    <col min="2" max="2" width="23.85546875" style="12" customWidth="1"/>
    <col min="3" max="4" width="11.7109375" style="12" customWidth="1"/>
    <col min="5" max="5" width="12.7109375" style="12" customWidth="1"/>
    <col min="6" max="16" width="11.7109375" style="12" customWidth="1"/>
    <col min="17" max="17" width="9.140625" style="12"/>
    <col min="18" max="20" width="12.7109375" style="12" customWidth="1"/>
    <col min="21" max="16384" width="9.140625" style="12"/>
  </cols>
  <sheetData>
    <row r="1" spans="1:22" ht="16.5" customHeight="1" x14ac:dyDescent="0.25">
      <c r="A1" s="134" t="s">
        <v>25</v>
      </c>
      <c r="B1" s="134"/>
      <c r="C1" s="134"/>
      <c r="D1" s="134"/>
      <c r="E1" s="134"/>
      <c r="F1" s="134"/>
      <c r="G1" s="134"/>
      <c r="H1" s="134"/>
      <c r="I1" s="134"/>
      <c r="J1" s="134"/>
      <c r="K1" s="134"/>
      <c r="L1" s="134"/>
      <c r="M1" s="134"/>
      <c r="N1" s="134"/>
      <c r="O1" s="134"/>
      <c r="P1" s="134"/>
      <c r="Q1" s="18"/>
      <c r="R1" s="18"/>
      <c r="S1" s="18"/>
      <c r="T1" s="18"/>
      <c r="U1" s="18"/>
      <c r="V1" s="18"/>
    </row>
    <row r="2" spans="1:22" ht="16.5" customHeight="1" x14ac:dyDescent="0.25">
      <c r="A2" s="134"/>
      <c r="B2" s="134"/>
      <c r="C2" s="134"/>
      <c r="D2" s="134"/>
      <c r="E2" s="134"/>
      <c r="F2" s="134"/>
      <c r="G2" s="134"/>
      <c r="H2" s="134"/>
      <c r="I2" s="134"/>
      <c r="J2" s="134"/>
      <c r="K2" s="134"/>
      <c r="L2" s="134"/>
      <c r="M2" s="134"/>
      <c r="N2" s="134"/>
      <c r="O2" s="134"/>
      <c r="P2" s="134"/>
      <c r="Q2" s="18"/>
      <c r="R2" s="18"/>
      <c r="S2" s="18"/>
      <c r="T2" s="18"/>
      <c r="U2" s="18"/>
      <c r="V2" s="18"/>
    </row>
    <row r="3" spans="1:22" ht="16.5" customHeight="1" x14ac:dyDescent="0.25">
      <c r="A3" s="134"/>
      <c r="B3" s="134"/>
      <c r="C3" s="134"/>
      <c r="D3" s="134"/>
      <c r="E3" s="134"/>
      <c r="F3" s="134"/>
      <c r="G3" s="134"/>
      <c r="H3" s="134"/>
      <c r="I3" s="134"/>
      <c r="J3" s="134"/>
      <c r="K3" s="134"/>
      <c r="L3" s="134"/>
      <c r="M3" s="134"/>
      <c r="N3" s="134"/>
      <c r="O3" s="134"/>
      <c r="P3" s="134"/>
      <c r="Q3" s="18"/>
      <c r="R3" s="18"/>
      <c r="S3" s="18"/>
      <c r="T3" s="18"/>
      <c r="U3" s="18"/>
      <c r="V3" s="18"/>
    </row>
    <row r="4" spans="1:22" ht="20.100000000000001" customHeight="1" x14ac:dyDescent="0.25">
      <c r="A4" s="299" t="str">
        <f>'Plan. Orçamentária'!A4:I4</f>
        <v>OBRA POR EXECUÇÃO INDIRETA</v>
      </c>
      <c r="B4" s="299"/>
      <c r="C4" s="299"/>
      <c r="D4" s="299"/>
      <c r="E4" s="299"/>
      <c r="F4" s="299"/>
      <c r="G4" s="299"/>
      <c r="H4" s="299"/>
      <c r="I4" s="299"/>
      <c r="J4" s="299"/>
      <c r="K4" s="299"/>
      <c r="L4" s="299"/>
      <c r="M4" s="299"/>
      <c r="N4" s="299"/>
      <c r="O4" s="299"/>
      <c r="P4" s="299"/>
      <c r="Q4" s="18"/>
      <c r="R4" s="18"/>
      <c r="S4" s="18"/>
      <c r="T4" s="18"/>
      <c r="U4" s="18"/>
      <c r="V4" s="18"/>
    </row>
    <row r="5" spans="1:22" ht="20.100000000000001" customHeight="1" x14ac:dyDescent="0.25">
      <c r="A5" s="301" t="str">
        <f>'Plan. Orçamentária'!A5:I5</f>
        <v>Setor requisitante: Secretaria Municipal de Obras e Serviços Urbanos</v>
      </c>
      <c r="B5" s="302"/>
      <c r="C5" s="302"/>
      <c r="D5" s="302"/>
      <c r="E5" s="302"/>
      <c r="F5" s="302"/>
      <c r="G5" s="302"/>
      <c r="H5" s="302"/>
      <c r="I5" s="302"/>
      <c r="J5" s="302"/>
      <c r="K5" s="302"/>
      <c r="L5" s="302"/>
      <c r="M5" s="302"/>
      <c r="N5" s="302"/>
      <c r="O5" s="302"/>
      <c r="P5" s="303"/>
      <c r="Q5" s="18"/>
      <c r="R5" s="18"/>
      <c r="S5" s="18"/>
      <c r="T5" s="18"/>
      <c r="U5" s="18"/>
      <c r="V5" s="18"/>
    </row>
    <row r="6" spans="1:22" ht="20.100000000000001" customHeight="1" x14ac:dyDescent="0.25">
      <c r="A6" s="135" t="str">
        <f>'Plan. Orçamentária'!A6:B7</f>
        <v>Objeto:</v>
      </c>
      <c r="B6" s="300" t="str">
        <f>'Plan. Orçamentária'!C6</f>
        <v>LOTE 02 - Pavimentação de via em piso de concreto pré-moldado intertravado, tipo Sextavado - Rua Custódio Costa Lage, Rua Gabriel Martins Quintão e Avenida Nuno Lage, bairro Santa Maria - Nova Era/MG</v>
      </c>
      <c r="C6" s="300"/>
      <c r="D6" s="300"/>
      <c r="E6" s="300"/>
      <c r="F6" s="300"/>
      <c r="G6" s="300"/>
      <c r="H6" s="300"/>
      <c r="I6" s="300"/>
      <c r="J6" s="300"/>
      <c r="K6" s="300"/>
      <c r="L6" s="300"/>
      <c r="M6" s="300"/>
      <c r="N6" s="137" t="str">
        <f>'Plan. Orçamentária'!G6:G7</f>
        <v>BDI:</v>
      </c>
      <c r="O6" s="201">
        <f>'Plan. Orçamentária'!H6:H7</f>
        <v>0.30380000000000001</v>
      </c>
      <c r="P6" s="202">
        <f ca="1">'Plan. Orçamentária'!I6:I7</f>
        <v>44887</v>
      </c>
      <c r="Q6" s="18"/>
      <c r="R6" s="18"/>
      <c r="S6" s="18"/>
      <c r="T6" s="18"/>
      <c r="U6" s="18"/>
      <c r="V6" s="18"/>
    </row>
    <row r="7" spans="1:22" ht="20.100000000000001" customHeight="1" x14ac:dyDescent="0.25">
      <c r="A7" s="135"/>
      <c r="B7" s="300"/>
      <c r="C7" s="300"/>
      <c r="D7" s="300"/>
      <c r="E7" s="300"/>
      <c r="F7" s="300"/>
      <c r="G7" s="300"/>
      <c r="H7" s="300"/>
      <c r="I7" s="300"/>
      <c r="J7" s="300"/>
      <c r="K7" s="300"/>
      <c r="L7" s="300"/>
      <c r="M7" s="300"/>
      <c r="N7" s="137"/>
      <c r="O7" s="201"/>
      <c r="P7" s="202"/>
      <c r="Q7" s="18"/>
      <c r="R7" s="18"/>
      <c r="S7" s="18"/>
      <c r="T7" s="18"/>
      <c r="U7" s="18"/>
      <c r="V7" s="18"/>
    </row>
    <row r="8" spans="1:22" ht="20.100000000000001" customHeight="1" x14ac:dyDescent="0.25">
      <c r="A8" s="132" t="s">
        <v>50</v>
      </c>
      <c r="B8" s="132"/>
      <c r="C8" s="132"/>
      <c r="D8" s="132"/>
      <c r="E8" s="132"/>
      <c r="F8" s="132"/>
      <c r="G8" s="132"/>
      <c r="H8" s="132"/>
      <c r="I8" s="132"/>
      <c r="J8" s="132"/>
      <c r="K8" s="132"/>
      <c r="L8" s="132"/>
      <c r="M8" s="132"/>
      <c r="N8" s="132"/>
      <c r="O8" s="132"/>
      <c r="P8" s="132"/>
      <c r="Q8" s="18"/>
      <c r="R8" s="18"/>
      <c r="S8" s="18"/>
      <c r="T8" s="18"/>
      <c r="U8" s="18"/>
      <c r="V8" s="18"/>
    </row>
    <row r="9" spans="1:22" ht="20.100000000000001" customHeight="1" x14ac:dyDescent="0.25">
      <c r="A9" s="304" t="s">
        <v>51</v>
      </c>
      <c r="B9" s="305" t="s">
        <v>164</v>
      </c>
      <c r="C9" s="305"/>
      <c r="D9" s="305"/>
      <c r="E9" s="305" t="s">
        <v>52</v>
      </c>
      <c r="F9" s="305" t="s">
        <v>53</v>
      </c>
      <c r="G9" s="305" t="s">
        <v>54</v>
      </c>
      <c r="H9" s="305" t="s">
        <v>55</v>
      </c>
      <c r="I9" s="305" t="s">
        <v>56</v>
      </c>
      <c r="J9" s="305" t="s">
        <v>57</v>
      </c>
      <c r="K9" s="305" t="s">
        <v>58</v>
      </c>
      <c r="L9" s="305" t="s">
        <v>59</v>
      </c>
      <c r="M9" s="305" t="s">
        <v>60</v>
      </c>
      <c r="N9" s="305" t="s">
        <v>61</v>
      </c>
      <c r="O9" s="305" t="s">
        <v>62</v>
      </c>
      <c r="P9" s="304" t="s">
        <v>63</v>
      </c>
      <c r="Q9" s="18"/>
      <c r="R9" s="18"/>
      <c r="S9" s="18"/>
      <c r="T9" s="18"/>
      <c r="U9" s="18"/>
      <c r="V9" s="18"/>
    </row>
    <row r="10" spans="1:22" ht="20.100000000000001" customHeight="1" x14ac:dyDescent="0.25">
      <c r="A10" s="304"/>
      <c r="B10" s="305"/>
      <c r="C10" s="305"/>
      <c r="D10" s="305"/>
      <c r="E10" s="305"/>
      <c r="F10" s="305"/>
      <c r="G10" s="304"/>
      <c r="H10" s="304"/>
      <c r="I10" s="304"/>
      <c r="J10" s="304"/>
      <c r="K10" s="304"/>
      <c r="L10" s="304"/>
      <c r="M10" s="304"/>
      <c r="N10" s="304"/>
      <c r="O10" s="304"/>
      <c r="P10" s="304"/>
      <c r="Q10" s="18"/>
      <c r="R10" s="18"/>
      <c r="S10" s="18"/>
      <c r="T10" s="18"/>
      <c r="U10" s="18"/>
      <c r="V10" s="18"/>
    </row>
    <row r="11" spans="1:22" ht="20.100000000000001" customHeight="1" outlineLevel="1" x14ac:dyDescent="0.25">
      <c r="A11" s="307">
        <f>'Plan. Orçamentária'!A10</f>
        <v>1</v>
      </c>
      <c r="B11" s="308" t="str">
        <f>'Plan. Orçamentária'!D10</f>
        <v>MOBILIZAÇÃO E DESMOBILIZAÇÃO</v>
      </c>
      <c r="C11" s="308"/>
      <c r="D11" s="308"/>
      <c r="E11" s="24" t="s">
        <v>64</v>
      </c>
      <c r="F11" s="25" t="e">
        <f>SUM(G11:J11)</f>
        <v>#DIV/0!</v>
      </c>
      <c r="G11" s="25" t="e">
        <f>G12/F12</f>
        <v>#DIV/0!</v>
      </c>
      <c r="H11" s="25" t="e">
        <f>H12/F12</f>
        <v>#DIV/0!</v>
      </c>
      <c r="I11" s="25" t="e">
        <f t="shared" ref="I11" si="0">I12/G12</f>
        <v>#DIV/0!</v>
      </c>
      <c r="J11" s="25" t="e">
        <f>J12/F12</f>
        <v>#DIV/0!</v>
      </c>
      <c r="K11" s="20"/>
      <c r="L11" s="20"/>
      <c r="M11" s="20"/>
      <c r="N11" s="20"/>
      <c r="O11" s="20"/>
      <c r="P11" s="20"/>
      <c r="Q11" s="18"/>
      <c r="R11" s="58"/>
      <c r="T11" s="59"/>
      <c r="U11" s="18"/>
      <c r="V11" s="18"/>
    </row>
    <row r="12" spans="1:22" ht="20.100000000000001" customHeight="1" outlineLevel="1" x14ac:dyDescent="0.25">
      <c r="A12" s="307"/>
      <c r="B12" s="308"/>
      <c r="C12" s="308"/>
      <c r="D12" s="308"/>
      <c r="E12" s="19" t="s">
        <v>65</v>
      </c>
      <c r="F12" s="5">
        <f>'Plan. Orçamentária'!I12</f>
        <v>0</v>
      </c>
      <c r="G12" s="5">
        <f>'Plan. Orçamentária'!I12*0.7</f>
        <v>0</v>
      </c>
      <c r="H12" s="39">
        <v>0</v>
      </c>
      <c r="I12" s="39">
        <f>'Plan. Orçamentária'!J12*0.3</f>
        <v>0</v>
      </c>
      <c r="J12" s="39">
        <f>'Plan. Orçamentária'!I12*0.3</f>
        <v>0</v>
      </c>
      <c r="K12" s="20"/>
      <c r="L12" s="20"/>
      <c r="M12" s="20"/>
      <c r="N12" s="20"/>
      <c r="O12" s="20"/>
      <c r="P12" s="20"/>
      <c r="Q12" s="18"/>
      <c r="R12" s="56">
        <f>F12</f>
        <v>0</v>
      </c>
      <c r="S12" s="21">
        <f>SUM(G12:J12)</f>
        <v>0</v>
      </c>
      <c r="T12" s="57">
        <f>R12-S12</f>
        <v>0</v>
      </c>
      <c r="U12" s="18"/>
      <c r="V12" s="18"/>
    </row>
    <row r="13" spans="1:22" ht="20.100000000000001" customHeight="1" outlineLevel="1" x14ac:dyDescent="0.25">
      <c r="A13" s="307">
        <f>'Plan. Orçamentária'!A13</f>
        <v>2</v>
      </c>
      <c r="B13" s="308" t="str">
        <f>'Plan. Orçamentária'!D13</f>
        <v>CANTEIRO DE OBRAS</v>
      </c>
      <c r="C13" s="308"/>
      <c r="D13" s="308"/>
      <c r="E13" s="24" t="s">
        <v>64</v>
      </c>
      <c r="F13" s="25" t="e">
        <f>SUM(G13:J13)</f>
        <v>#DIV/0!</v>
      </c>
      <c r="G13" s="25" t="e">
        <f>G14/F14</f>
        <v>#DIV/0!</v>
      </c>
      <c r="H13" s="25" t="e">
        <f>H14/F14</f>
        <v>#DIV/0!</v>
      </c>
      <c r="I13" s="25" t="e">
        <f>I14/F14</f>
        <v>#DIV/0!</v>
      </c>
      <c r="J13" s="25" t="e">
        <f>J14/G14</f>
        <v>#DIV/0!</v>
      </c>
      <c r="K13" s="20"/>
      <c r="L13" s="20"/>
      <c r="M13" s="20"/>
      <c r="N13" s="20"/>
      <c r="O13" s="20"/>
      <c r="P13" s="20"/>
      <c r="Q13" s="18"/>
      <c r="R13" s="58"/>
      <c r="T13" s="57"/>
      <c r="U13" s="18"/>
      <c r="V13" s="18"/>
    </row>
    <row r="14" spans="1:22" ht="20.100000000000001" customHeight="1" outlineLevel="1" x14ac:dyDescent="0.25">
      <c r="A14" s="307"/>
      <c r="B14" s="308"/>
      <c r="C14" s="308"/>
      <c r="D14" s="308"/>
      <c r="E14" s="19" t="s">
        <v>65</v>
      </c>
      <c r="F14" s="5">
        <f>'Plan. Orçamentária'!I19</f>
        <v>0</v>
      </c>
      <c r="G14" s="5">
        <f>('Plan. Orçamentária'!I14+'Plan. Orçamentária'!I17+'Plan. Orçamentária'!I18)+('Plan. Orçamentária'!I15+'Plan. Orçamentária'!I16)/2</f>
        <v>0</v>
      </c>
      <c r="H14" s="5">
        <f>('Plan. Orçamentária'!I15+'Plan. Orçamentária'!I16)/2</f>
        <v>0</v>
      </c>
      <c r="I14" s="5">
        <f>'Plan. Orçamentária'!L19</f>
        <v>0</v>
      </c>
      <c r="J14" s="5">
        <f>('Plan. Orçamentária'!L14+'Plan. Orçamentária'!L17+'Plan. Orçamentária'!L18)+('Plan. Orçamentária'!L15+'Plan. Orçamentária'!L16)/2</f>
        <v>0</v>
      </c>
      <c r="K14" s="20"/>
      <c r="L14" s="20"/>
      <c r="M14" s="20"/>
      <c r="N14" s="20"/>
      <c r="O14" s="20"/>
      <c r="P14" s="20"/>
      <c r="Q14" s="18"/>
      <c r="R14" s="60">
        <f>F14</f>
        <v>0</v>
      </c>
      <c r="S14" s="61">
        <f>SUM(G14:J14)</f>
        <v>0</v>
      </c>
      <c r="T14" s="62">
        <f>R14-S14</f>
        <v>0</v>
      </c>
      <c r="U14" s="18"/>
      <c r="V14" s="18"/>
    </row>
    <row r="15" spans="1:22" ht="20.100000000000001" customHeight="1" x14ac:dyDescent="0.25">
      <c r="A15" s="307">
        <f>'Plan. Orçamentária'!A20</f>
        <v>3</v>
      </c>
      <c r="B15" s="308" t="str">
        <f>'Plan. Orçamentária'!D20</f>
        <v>ADMINISTRAÇAO LOCAL</v>
      </c>
      <c r="C15" s="308"/>
      <c r="D15" s="308"/>
      <c r="E15" s="24" t="s">
        <v>64</v>
      </c>
      <c r="F15" s="25" t="e">
        <f>SUM(G15:J15)</f>
        <v>#DIV/0!</v>
      </c>
      <c r="G15" s="25" t="e">
        <f>G16/F16</f>
        <v>#DIV/0!</v>
      </c>
      <c r="H15" s="25" t="e">
        <f>H16/F16</f>
        <v>#DIV/0!</v>
      </c>
      <c r="I15" s="25" t="e">
        <f>I16/F16</f>
        <v>#DIV/0!</v>
      </c>
      <c r="J15" s="25" t="e">
        <f>J16/F16</f>
        <v>#DIV/0!</v>
      </c>
      <c r="K15" s="20"/>
      <c r="L15" s="20"/>
      <c r="M15" s="20"/>
      <c r="N15" s="20"/>
      <c r="O15" s="20"/>
      <c r="P15" s="20"/>
      <c r="Q15" s="18"/>
      <c r="R15" s="56"/>
      <c r="S15" s="21"/>
      <c r="T15" s="57"/>
      <c r="U15" s="18"/>
      <c r="V15" s="18"/>
    </row>
    <row r="16" spans="1:22" ht="20.100000000000001" customHeight="1" x14ac:dyDescent="0.25">
      <c r="A16" s="307"/>
      <c r="B16" s="308"/>
      <c r="C16" s="308"/>
      <c r="D16" s="308"/>
      <c r="E16" s="19" t="s">
        <v>65</v>
      </c>
      <c r="F16" s="5">
        <f>'Plan. Orçamentária'!I25</f>
        <v>0</v>
      </c>
      <c r="G16" s="5">
        <f>'Plan. Orçamentária'!I25/4</f>
        <v>0</v>
      </c>
      <c r="H16" s="5">
        <f>'Plan. Orçamentária'!I25/4</f>
        <v>0</v>
      </c>
      <c r="I16" s="5">
        <f>'Plan. Orçamentária'!I25/4</f>
        <v>0</v>
      </c>
      <c r="J16" s="5">
        <f>'Plan. Orçamentária'!I25/4</f>
        <v>0</v>
      </c>
      <c r="K16" s="20"/>
      <c r="L16" s="20"/>
      <c r="M16" s="20"/>
      <c r="N16" s="20"/>
      <c r="O16" s="20"/>
      <c r="P16" s="20"/>
      <c r="Q16" s="18"/>
      <c r="R16" s="56">
        <f>F16</f>
        <v>0</v>
      </c>
      <c r="S16" s="21">
        <f>SUM(G16:J16)</f>
        <v>0</v>
      </c>
      <c r="T16" s="57">
        <f>R16-S16</f>
        <v>0</v>
      </c>
      <c r="U16" s="18"/>
      <c r="V16" s="18"/>
    </row>
    <row r="17" spans="1:22" ht="20.100000000000001" customHeight="1" x14ac:dyDescent="0.25">
      <c r="A17" s="307">
        <f>'Plan. Orçamentária'!A26</f>
        <v>4</v>
      </c>
      <c r="B17" s="308" t="str">
        <f>'Plan. Orçamentária'!D26</f>
        <v>SINALIZAÇÃO</v>
      </c>
      <c r="C17" s="308"/>
      <c r="D17" s="308"/>
      <c r="E17" s="24" t="s">
        <v>64</v>
      </c>
      <c r="F17" s="25" t="e">
        <f>SUM(G17:J17)</f>
        <v>#DIV/0!</v>
      </c>
      <c r="G17" s="25" t="e">
        <f>G18/F18</f>
        <v>#DIV/0!</v>
      </c>
      <c r="H17" s="25" t="e">
        <f>H18/F18</f>
        <v>#DIV/0!</v>
      </c>
      <c r="I17" s="25" t="e">
        <f>I18/F18</f>
        <v>#DIV/0!</v>
      </c>
      <c r="J17" s="25" t="e">
        <f>J18/F18</f>
        <v>#DIV/0!</v>
      </c>
      <c r="K17" s="20"/>
      <c r="L17" s="20"/>
      <c r="M17" s="20"/>
      <c r="N17" s="20"/>
      <c r="O17" s="20"/>
      <c r="P17" s="20"/>
      <c r="Q17" s="18"/>
      <c r="R17" s="56"/>
      <c r="S17" s="21"/>
      <c r="T17" s="57"/>
      <c r="U17" s="18"/>
      <c r="V17" s="18"/>
    </row>
    <row r="18" spans="1:22" ht="20.100000000000001" customHeight="1" x14ac:dyDescent="0.25">
      <c r="A18" s="307"/>
      <c r="B18" s="308"/>
      <c r="C18" s="308"/>
      <c r="D18" s="308"/>
      <c r="E18" s="19" t="s">
        <v>65</v>
      </c>
      <c r="F18" s="5">
        <f>'Plan. Orçamentária'!I29</f>
        <v>0</v>
      </c>
      <c r="G18" s="5">
        <f>'Plan. Orçamentária'!I29/4</f>
        <v>0</v>
      </c>
      <c r="H18" s="5">
        <f>'Plan. Orçamentária'!I29/4</f>
        <v>0</v>
      </c>
      <c r="I18" s="5">
        <f>'Plan. Orçamentária'!I29/4</f>
        <v>0</v>
      </c>
      <c r="J18" s="5">
        <f>'Plan. Orçamentária'!I29/4</f>
        <v>0</v>
      </c>
      <c r="K18" s="20"/>
      <c r="L18" s="20"/>
      <c r="M18" s="20"/>
      <c r="N18" s="20"/>
      <c r="O18" s="20"/>
      <c r="P18" s="20"/>
      <c r="Q18" s="18"/>
      <c r="R18" s="56">
        <f>F18</f>
        <v>0</v>
      </c>
      <c r="S18" s="21">
        <f>SUM(G18:J18)</f>
        <v>0</v>
      </c>
      <c r="T18" s="57">
        <f>R18-S18</f>
        <v>0</v>
      </c>
      <c r="U18" s="18"/>
      <c r="V18" s="18"/>
    </row>
    <row r="19" spans="1:22" ht="20.100000000000001" customHeight="1" x14ac:dyDescent="0.25">
      <c r="A19" s="307">
        <f>'Plan. Orçamentária'!A30</f>
        <v>5</v>
      </c>
      <c r="B19" s="308" t="str">
        <f>'Plan. Orçamentária'!D30</f>
        <v>DRENAGEM PLUVIAL</v>
      </c>
      <c r="C19" s="308"/>
      <c r="D19" s="308"/>
      <c r="E19" s="24" t="s">
        <v>64</v>
      </c>
      <c r="F19" s="25" t="e">
        <f>SUM(G19:J19)</f>
        <v>#DIV/0!</v>
      </c>
      <c r="G19" s="25" t="e">
        <f>G20/F20</f>
        <v>#DIV/0!</v>
      </c>
      <c r="H19" s="25" t="e">
        <f>H20/F20</f>
        <v>#DIV/0!</v>
      </c>
      <c r="I19" s="25" t="e">
        <f>I20/F20</f>
        <v>#DIV/0!</v>
      </c>
      <c r="J19" s="25" t="e">
        <f>J20/F20</f>
        <v>#DIV/0!</v>
      </c>
      <c r="K19" s="20"/>
      <c r="L19" s="20"/>
      <c r="M19" s="20"/>
      <c r="N19" s="20"/>
      <c r="O19" s="20"/>
      <c r="P19" s="20"/>
      <c r="Q19" s="18"/>
      <c r="R19" s="56"/>
      <c r="S19" s="21"/>
      <c r="T19" s="57"/>
      <c r="U19" s="18"/>
      <c r="V19" s="18"/>
    </row>
    <row r="20" spans="1:22" ht="20.100000000000001" customHeight="1" x14ac:dyDescent="0.25">
      <c r="A20" s="307"/>
      <c r="B20" s="308"/>
      <c r="C20" s="308"/>
      <c r="D20" s="308"/>
      <c r="E20" s="19" t="s">
        <v>65</v>
      </c>
      <c r="F20" s="5">
        <f>'Plan. Orçamentária'!I44</f>
        <v>0</v>
      </c>
      <c r="G20" s="5">
        <f>'Plan. Orçamentária'!I44/2</f>
        <v>0</v>
      </c>
      <c r="H20" s="5">
        <f>'Plan. Orçamentária'!I44/2-0.01</f>
        <v>-0.01</v>
      </c>
      <c r="I20" s="5">
        <f>'Plan. Orçamentária'!L44</f>
        <v>0</v>
      </c>
      <c r="J20" s="5">
        <f>'Plan. Orçamentária'!L33+'Plan. Orçamentária'!L35+'Plan. Orçamentária'!L37+'Plan. Orçamentária'!L39+'Plan. Orçamentária'!L41</f>
        <v>0</v>
      </c>
      <c r="K20" s="20"/>
      <c r="L20" s="20"/>
      <c r="M20" s="20"/>
      <c r="N20" s="20"/>
      <c r="O20" s="20"/>
      <c r="P20" s="20"/>
      <c r="Q20" s="18"/>
      <c r="R20" s="56">
        <f>F20</f>
        <v>0</v>
      </c>
      <c r="S20" s="21">
        <f>SUM(G20:J20)</f>
        <v>-0.01</v>
      </c>
      <c r="T20" s="57">
        <f>R20-S20</f>
        <v>0.01</v>
      </c>
      <c r="U20" s="18"/>
      <c r="V20" s="18"/>
    </row>
    <row r="21" spans="1:22" ht="20.100000000000001" customHeight="1" x14ac:dyDescent="0.25">
      <c r="A21" s="307">
        <f>'Plan. Orçamentária'!A45</f>
        <v>6</v>
      </c>
      <c r="B21" s="308" t="str">
        <f>'Plan. Orçamentária'!D45</f>
        <v>PAVIMENTAÇÃO</v>
      </c>
      <c r="C21" s="308"/>
      <c r="D21" s="308"/>
      <c r="E21" s="24" t="s">
        <v>64</v>
      </c>
      <c r="F21" s="25" t="e">
        <f>SUM(G21:J21)</f>
        <v>#DIV/0!</v>
      </c>
      <c r="G21" s="25" t="e">
        <f>G22/F22</f>
        <v>#DIV/0!</v>
      </c>
      <c r="H21" s="25" t="e">
        <f>H22/F22</f>
        <v>#DIV/0!</v>
      </c>
      <c r="I21" s="25" t="e">
        <f>I22/F22</f>
        <v>#DIV/0!</v>
      </c>
      <c r="J21" s="25" t="e">
        <f>J22/F22</f>
        <v>#DIV/0!</v>
      </c>
      <c r="K21" s="20"/>
      <c r="L21" s="20"/>
      <c r="M21" s="20"/>
      <c r="N21" s="20"/>
      <c r="O21" s="20"/>
      <c r="P21" s="20"/>
      <c r="Q21" s="18"/>
      <c r="R21" s="56"/>
      <c r="S21" s="21"/>
      <c r="T21" s="57"/>
      <c r="U21" s="18"/>
      <c r="V21" s="18"/>
    </row>
    <row r="22" spans="1:22" ht="20.100000000000001" customHeight="1" x14ac:dyDescent="0.25">
      <c r="A22" s="307"/>
      <c r="B22" s="308"/>
      <c r="C22" s="308"/>
      <c r="D22" s="308"/>
      <c r="E22" s="19" t="s">
        <v>65</v>
      </c>
      <c r="F22" s="5">
        <f>'Plan. Orçamentária'!I54</f>
        <v>0</v>
      </c>
      <c r="G22" s="5">
        <f>'Plan. Orçamentária'!I46+'Plan. Orçamentária'!I47+'Plan. Orçamentária'!I48+'Plan. Orçamentária'!I50</f>
        <v>0</v>
      </c>
      <c r="H22" s="5">
        <f>('Plan. Orçamentária'!I49+'Plan. Orçamentária'!I51+'Plan. Orçamentária'!I52+'Plan. Orçamentária'!I53)/3</f>
        <v>0</v>
      </c>
      <c r="I22" s="5">
        <f>('Plan. Orçamentária'!I49+'Plan. Orçamentária'!I51+'Plan. Orçamentária'!I52+'Plan. Orçamentária'!I53)/3</f>
        <v>0</v>
      </c>
      <c r="J22" s="5">
        <f>(('Plan. Orçamentária'!I49+'Plan. Orçamentária'!I51+'Plan. Orçamentária'!I52+'Plan. Orçamentária'!I53)/3)-0.01</f>
        <v>-0.01</v>
      </c>
      <c r="K22" s="20"/>
      <c r="L22" s="20"/>
      <c r="M22" s="20"/>
      <c r="N22" s="20"/>
      <c r="O22" s="20"/>
      <c r="P22" s="20"/>
      <c r="Q22" s="18"/>
      <c r="R22" s="60">
        <f>F22</f>
        <v>0</v>
      </c>
      <c r="S22" s="61">
        <f>SUM(G22:J22)</f>
        <v>-0.01</v>
      </c>
      <c r="T22" s="62">
        <f>R22-S22</f>
        <v>0.01</v>
      </c>
      <c r="U22" s="18"/>
      <c r="V22" s="18"/>
    </row>
    <row r="23" spans="1:22" ht="20.100000000000001" customHeight="1" x14ac:dyDescent="0.25">
      <c r="A23" s="306" t="s">
        <v>47</v>
      </c>
      <c r="B23" s="306"/>
      <c r="C23" s="306"/>
      <c r="D23" s="306"/>
      <c r="E23" s="22" t="s">
        <v>64</v>
      </c>
      <c r="F23" s="23" t="e">
        <f>SUM(G23:J23)</f>
        <v>#DIV/0!</v>
      </c>
      <c r="G23" s="23" t="e">
        <f>G24/$F$24</f>
        <v>#DIV/0!</v>
      </c>
      <c r="H23" s="23" t="e">
        <f>H24/$F$24</f>
        <v>#DIV/0!</v>
      </c>
      <c r="I23" s="23" t="e">
        <f>I24/$F$24</f>
        <v>#DIV/0!</v>
      </c>
      <c r="J23" s="23" t="e">
        <f>J24/$F$24-0.0001</f>
        <v>#DIV/0!</v>
      </c>
      <c r="K23" s="63"/>
      <c r="L23" s="63"/>
      <c r="M23" s="63"/>
      <c r="N23" s="63"/>
      <c r="O23" s="63"/>
      <c r="P23" s="63"/>
      <c r="Q23" s="18"/>
      <c r="R23" s="42" t="e">
        <f>F23</f>
        <v>#DIV/0!</v>
      </c>
      <c r="S23" s="42" t="e">
        <f>SUM(G23:J23)</f>
        <v>#DIV/0!</v>
      </c>
      <c r="T23" s="42" t="e">
        <f t="shared" ref="T23:T24" si="1">R23-S23</f>
        <v>#DIV/0!</v>
      </c>
      <c r="U23" s="18"/>
      <c r="V23" s="18"/>
    </row>
    <row r="24" spans="1:22" ht="20.100000000000001" customHeight="1" x14ac:dyDescent="0.25">
      <c r="A24" s="306"/>
      <c r="B24" s="306"/>
      <c r="C24" s="306"/>
      <c r="D24" s="306"/>
      <c r="E24" s="22" t="s">
        <v>65</v>
      </c>
      <c r="F24" s="55">
        <f>F12+F14+F16+F18+F20+F22</f>
        <v>0</v>
      </c>
      <c r="G24" s="64">
        <f>G12+G14+G16+G18+G20+G22</f>
        <v>0</v>
      </c>
      <c r="H24" s="64">
        <f>H12+H14+H16+H18+H20+H22</f>
        <v>-0.01</v>
      </c>
      <c r="I24" s="55">
        <f>I12+I14+I16+I18+I20+I22</f>
        <v>0</v>
      </c>
      <c r="J24" s="64">
        <f>J12+J14+J16+J18+J20+J22</f>
        <v>-0.01</v>
      </c>
      <c r="K24" s="65"/>
      <c r="L24" s="65"/>
      <c r="M24" s="65"/>
      <c r="N24" s="65"/>
      <c r="O24" s="65"/>
      <c r="P24" s="65"/>
      <c r="Q24" s="18"/>
      <c r="R24" s="21">
        <f>F24</f>
        <v>0</v>
      </c>
      <c r="S24" s="21">
        <f>'Plan. Orçamentária'!I55</f>
        <v>0</v>
      </c>
      <c r="T24" s="21">
        <f t="shared" si="1"/>
        <v>0</v>
      </c>
      <c r="U24" s="18"/>
      <c r="V24" s="18"/>
    </row>
  </sheetData>
  <mergeCells count="36">
    <mergeCell ref="A23:D24"/>
    <mergeCell ref="A11:A12"/>
    <mergeCell ref="B11:D12"/>
    <mergeCell ref="A13:A14"/>
    <mergeCell ref="B13:D14"/>
    <mergeCell ref="A15:A16"/>
    <mergeCell ref="B15:D16"/>
    <mergeCell ref="A17:A18"/>
    <mergeCell ref="B17:D18"/>
    <mergeCell ref="A19:A20"/>
    <mergeCell ref="B19:D20"/>
    <mergeCell ref="A21:A22"/>
    <mergeCell ref="B21:D22"/>
    <mergeCell ref="A8:P8"/>
    <mergeCell ref="A9:A10"/>
    <mergeCell ref="B9:D10"/>
    <mergeCell ref="E9:E10"/>
    <mergeCell ref="F9:F10"/>
    <mergeCell ref="G9:G10"/>
    <mergeCell ref="H9:H10"/>
    <mergeCell ref="I9:I10"/>
    <mergeCell ref="J9:J10"/>
    <mergeCell ref="K9:K10"/>
    <mergeCell ref="L9:L10"/>
    <mergeCell ref="M9:M10"/>
    <mergeCell ref="N9:N10"/>
    <mergeCell ref="O9:O10"/>
    <mergeCell ref="P9:P10"/>
    <mergeCell ref="A1:P3"/>
    <mergeCell ref="A4:P4"/>
    <mergeCell ref="A6:A7"/>
    <mergeCell ref="B6:M7"/>
    <mergeCell ref="N6:N7"/>
    <mergeCell ref="O6:O7"/>
    <mergeCell ref="P6:P7"/>
    <mergeCell ref="A5:P5"/>
  </mergeCells>
  <pageMargins left="0.19685039370078741" right="0.19685039370078741" top="0.19685039370078741" bottom="1.1811023622047245" header="0.31496062992125984" footer="0.31496062992125984"/>
  <pageSetup paperSize="9" scale="73" fitToHeight="0" orientation="landscape" verticalDpi="4294967295"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10</vt:i4>
      </vt:variant>
    </vt:vector>
  </HeadingPairs>
  <TitlesOfParts>
    <vt:vector size="16" baseType="lpstr">
      <vt:lpstr>Plan. Orçamentária</vt:lpstr>
      <vt:lpstr>Mem. Cálc. - P.O</vt:lpstr>
      <vt:lpstr>C.P.U.</vt:lpstr>
      <vt:lpstr>Memória de cálculo - Composição</vt:lpstr>
      <vt:lpstr>BDI</vt:lpstr>
      <vt:lpstr>Cronograma Fis-Fin</vt:lpstr>
      <vt:lpstr>BDI!Area_de_impressao</vt:lpstr>
      <vt:lpstr>C.P.U.!Area_de_impressao</vt:lpstr>
      <vt:lpstr>'Cronograma Fis-Fin'!Area_de_impressao</vt:lpstr>
      <vt:lpstr>'Mem. Cálc. - P.O'!Area_de_impressao</vt:lpstr>
      <vt:lpstr>'Memória de cálculo - Composição'!Area_de_impressao</vt:lpstr>
      <vt:lpstr>'Plan. Orçamentária'!Area_de_impressao</vt:lpstr>
      <vt:lpstr>C.P.U.!Titulos_de_impressao</vt:lpstr>
      <vt:lpstr>'Cronograma Fis-Fin'!Titulos_de_impressao</vt:lpstr>
      <vt:lpstr>'Mem. Cálc. - P.O'!Titulos_de_impressao</vt:lpstr>
      <vt:lpstr>'Plan.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2022-11-22T17:27:14Z</dcterms:modified>
</cp:coreProperties>
</file>