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646" activeTab="5"/>
  </bookViews>
  <sheets>
    <sheet name="Plan. Orçamentária" sheetId="12" r:id="rId1"/>
    <sheet name="Mem. Cálc. - P.O" sheetId="13" r:id="rId2"/>
    <sheet name="C.P.U." sheetId="14" r:id="rId3"/>
    <sheet name="Memória de Cálculo - Composição" sheetId="20" r:id="rId4"/>
    <sheet name="BDI" sheetId="18" r:id="rId5"/>
    <sheet name="Cronograma Fis-Fin" sheetId="17" r:id="rId6"/>
  </sheets>
  <externalReferences>
    <externalReference r:id="rId7"/>
    <externalReference r:id="rId8"/>
    <externalReference r:id="rId9"/>
    <externalReference r:id="rId10"/>
  </externalReferences>
  <definedNames>
    <definedName name="_xlnm.Print_Area" localSheetId="4">BDI!$A$1:$J$52</definedName>
    <definedName name="_xlnm.Print_Area" localSheetId="2">'C.P.U.'!$A$1:$I$59</definedName>
    <definedName name="_xlnm.Print_Area" localSheetId="5">'Cronograma Fis-Fin'!$A$1:$P$26</definedName>
    <definedName name="_xlnm.Print_Area" localSheetId="1">'Mem. Cálc. - P.O'!$A$1:$J$408</definedName>
    <definedName name="_xlnm.Print_Area" localSheetId="3">'Memória de Cálculo - Composição'!$A$1:$I$62</definedName>
    <definedName name="_xlnm.Print_Area" localSheetId="0">'Plan. Orçamentária'!$A$1:$I$77</definedName>
    <definedName name="_xlnm.Database">#REF!</definedName>
    <definedName name="DESONERACAO" hidden="1">IF(OR(Import.Desoneracao="DESONERADO",Import.Desoneracao="SIM"),"SIM","NÃO")</definedName>
    <definedName name="Import.Desoneracao" hidden="1">OFFSET([1]DADOS!$G$18,0,-1)</definedName>
    <definedName name="_xlnm.Print_Titles" localSheetId="2">'C.P.U.'!$1:$8</definedName>
    <definedName name="_xlnm.Print_Titles" localSheetId="5">'Cronograma Fis-Fin'!$1:$10</definedName>
    <definedName name="_xlnm.Print_Titles" localSheetId="1">'Mem. Cálc. - P.O'!$1:$8</definedName>
    <definedName name="_xlnm.Print_Titles" localSheetId="0">'Plan. Orçamentária'!$1:$9</definedName>
  </definedNames>
  <calcPr calcId="162913" fullPrecision="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I6" i="20" l="1"/>
  <c r="B23" i="17"/>
  <c r="A23" i="17"/>
  <c r="A408" i="13" l="1"/>
  <c r="B405" i="13"/>
  <c r="A405" i="13"/>
  <c r="J407" i="13"/>
  <c r="J408" i="13" s="1"/>
  <c r="E66" i="12" s="1"/>
  <c r="J402" i="13" l="1"/>
  <c r="J403" i="13"/>
  <c r="E58" i="12" l="1"/>
  <c r="A351" i="13"/>
  <c r="B348" i="13"/>
  <c r="A348" i="13"/>
  <c r="J350" i="13"/>
  <c r="J351" i="13" s="1"/>
  <c r="A404" i="13"/>
  <c r="B399" i="13"/>
  <c r="A399" i="13"/>
  <c r="J401" i="13"/>
  <c r="J404" i="13" s="1"/>
  <c r="E65" i="12" s="1"/>
  <c r="A369" i="13"/>
  <c r="B364" i="13"/>
  <c r="A364" i="13"/>
  <c r="J368" i="13"/>
  <c r="J367" i="13"/>
  <c r="J366" i="13"/>
  <c r="J379" i="13"/>
  <c r="J380" i="13"/>
  <c r="J381" i="13"/>
  <c r="J382" i="13"/>
  <c r="J383" i="13"/>
  <c r="J384" i="13"/>
  <c r="J385" i="13"/>
  <c r="J386" i="13"/>
  <c r="J387" i="13"/>
  <c r="J388" i="13"/>
  <c r="J389" i="13"/>
  <c r="J394" i="13"/>
  <c r="J395" i="13"/>
  <c r="J396" i="13"/>
  <c r="J397" i="13"/>
  <c r="B376" i="13"/>
  <c r="A376" i="13"/>
  <c r="B370" i="13"/>
  <c r="A370" i="13"/>
  <c r="J374" i="13"/>
  <c r="J373" i="13"/>
  <c r="J372" i="13"/>
  <c r="A398" i="13"/>
  <c r="A391" i="13"/>
  <c r="B391" i="13"/>
  <c r="A390" i="13"/>
  <c r="J393" i="13"/>
  <c r="J378" i="13"/>
  <c r="J362" i="13"/>
  <c r="C62" i="12"/>
  <c r="B62" i="12"/>
  <c r="B54" i="14"/>
  <c r="F62" i="12"/>
  <c r="A375" i="13" s="1"/>
  <c r="A363" i="13"/>
  <c r="B358" i="13"/>
  <c r="A358" i="13"/>
  <c r="J361" i="13"/>
  <c r="J360" i="13"/>
  <c r="I58" i="14"/>
  <c r="I57" i="14"/>
  <c r="I59" i="14" s="1"/>
  <c r="I54" i="14" s="1"/>
  <c r="G62" i="12" s="1"/>
  <c r="A59" i="14"/>
  <c r="C37" i="12"/>
  <c r="B37" i="12"/>
  <c r="C36" i="12"/>
  <c r="B36" i="12"/>
  <c r="C57" i="12"/>
  <c r="B57" i="12"/>
  <c r="B343" i="13"/>
  <c r="A343" i="13"/>
  <c r="A67" i="12"/>
  <c r="J355" i="13"/>
  <c r="J356" i="13"/>
  <c r="A357" i="13"/>
  <c r="B352" i="13"/>
  <c r="A352" i="13"/>
  <c r="J354" i="13"/>
  <c r="J390" i="13" l="1"/>
  <c r="E63" i="12" s="1"/>
  <c r="J375" i="13"/>
  <c r="E62" i="12" s="1"/>
  <c r="J369" i="13"/>
  <c r="E61" i="12" s="1"/>
  <c r="J398" i="13"/>
  <c r="E64" i="12" s="1"/>
  <c r="J363" i="13"/>
  <c r="E60" i="12" s="1"/>
  <c r="J357" i="13"/>
  <c r="E59" i="12" s="1"/>
  <c r="A347" i="13" l="1"/>
  <c r="B344" i="13"/>
  <c r="A344" i="13"/>
  <c r="J346" i="13"/>
  <c r="J347" i="13" s="1"/>
  <c r="E57" i="12" s="1"/>
  <c r="B40" i="14"/>
  <c r="A53" i="14"/>
  <c r="I52" i="14"/>
  <c r="I51" i="14"/>
  <c r="I50" i="14"/>
  <c r="I49" i="14"/>
  <c r="I48" i="14"/>
  <c r="I47" i="14"/>
  <c r="I46" i="14"/>
  <c r="I45" i="14"/>
  <c r="I44" i="14"/>
  <c r="I43" i="14"/>
  <c r="I53" i="14" l="1"/>
  <c r="I40" i="14" s="1"/>
  <c r="G57" i="12" s="1"/>
  <c r="J281" i="13"/>
  <c r="H306" i="13" l="1"/>
  <c r="H310" i="13" l="1"/>
  <c r="J310" i="13" s="1"/>
  <c r="I20" i="17" l="1"/>
  <c r="J20" i="17"/>
  <c r="J341" i="13"/>
  <c r="J333" i="13"/>
  <c r="A261" i="13"/>
  <c r="B258" i="13"/>
  <c r="A258" i="13"/>
  <c r="J260" i="13"/>
  <c r="J261" i="13" s="1"/>
  <c r="G265" i="13" s="1"/>
  <c r="J265" i="13" s="1"/>
  <c r="J325" i="13"/>
  <c r="J307" i="13"/>
  <c r="J309" i="13"/>
  <c r="J306" i="13"/>
  <c r="J297" i="13"/>
  <c r="J298" i="13" s="1"/>
  <c r="G301" i="13" s="1"/>
  <c r="D290" i="13"/>
  <c r="J290" i="13" s="1"/>
  <c r="D315" i="13" s="1"/>
  <c r="J279" i="13"/>
  <c r="J280" i="13"/>
  <c r="J278" i="13"/>
  <c r="J256" i="13"/>
  <c r="J243" i="13"/>
  <c r="J236" i="13"/>
  <c r="J225" i="13"/>
  <c r="J226" i="13"/>
  <c r="J227" i="13"/>
  <c r="J228" i="13"/>
  <c r="J229" i="13"/>
  <c r="J224" i="13"/>
  <c r="E214" i="13"/>
  <c r="F214" i="13" s="1"/>
  <c r="E213" i="13"/>
  <c r="F213" i="13" s="1"/>
  <c r="E212" i="13"/>
  <c r="F212" i="13" s="1"/>
  <c r="E211" i="13"/>
  <c r="F211" i="13" s="1"/>
  <c r="E210" i="13"/>
  <c r="F210" i="13" s="1"/>
  <c r="E209" i="13"/>
  <c r="F209" i="13" s="1"/>
  <c r="E208" i="13"/>
  <c r="F208" i="13" s="1"/>
  <c r="E207" i="13"/>
  <c r="F207" i="13" s="1"/>
  <c r="E206" i="13"/>
  <c r="F206" i="13" s="1"/>
  <c r="E205" i="13"/>
  <c r="F205" i="13" s="1"/>
  <c r="E204" i="13"/>
  <c r="F204" i="13" s="1"/>
  <c r="E203" i="13"/>
  <c r="F203" i="13" s="1"/>
  <c r="E202" i="13"/>
  <c r="F202" i="13" s="1"/>
  <c r="E201" i="13"/>
  <c r="D201" i="13"/>
  <c r="E200" i="13"/>
  <c r="F200" i="13" s="1"/>
  <c r="E199" i="13"/>
  <c r="D199" i="13"/>
  <c r="E198" i="13"/>
  <c r="F198" i="13" s="1"/>
  <c r="E197" i="13"/>
  <c r="F197" i="13" s="1"/>
  <c r="E196" i="13"/>
  <c r="D196" i="13"/>
  <c r="E195" i="13"/>
  <c r="F195" i="13" s="1"/>
  <c r="J175" i="13"/>
  <c r="J176" i="13"/>
  <c r="J178" i="13"/>
  <c r="J173" i="13"/>
  <c r="D177" i="13"/>
  <c r="J177" i="13" s="1"/>
  <c r="D174" i="13"/>
  <c r="J174" i="13" s="1"/>
  <c r="J151" i="13"/>
  <c r="J152" i="13"/>
  <c r="J153" i="13"/>
  <c r="J154" i="13"/>
  <c r="J155" i="13"/>
  <c r="J156" i="13"/>
  <c r="J157" i="13"/>
  <c r="J158" i="13"/>
  <c r="J159" i="13"/>
  <c r="J160" i="13"/>
  <c r="J161" i="13"/>
  <c r="J162" i="13"/>
  <c r="J163" i="13"/>
  <c r="D150" i="13"/>
  <c r="J150" i="13" s="1"/>
  <c r="J122" i="13"/>
  <c r="J123" i="13"/>
  <c r="J125" i="13"/>
  <c r="J127" i="13"/>
  <c r="J128" i="13"/>
  <c r="J129" i="13"/>
  <c r="J130" i="13"/>
  <c r="J131" i="13"/>
  <c r="J132" i="13"/>
  <c r="J133" i="13"/>
  <c r="J134" i="13"/>
  <c r="J135" i="13"/>
  <c r="J136" i="13"/>
  <c r="J137" i="13"/>
  <c r="J138" i="13"/>
  <c r="J139" i="13"/>
  <c r="J120" i="13"/>
  <c r="D126" i="13"/>
  <c r="J126" i="13" s="1"/>
  <c r="D124" i="13"/>
  <c r="J124" i="13" s="1"/>
  <c r="D121" i="13"/>
  <c r="J121" i="13" s="1"/>
  <c r="J88" i="13"/>
  <c r="J89" i="13"/>
  <c r="J94" i="13"/>
  <c r="J95" i="13"/>
  <c r="J96" i="13"/>
  <c r="J97" i="13"/>
  <c r="J98" i="13"/>
  <c r="J99" i="13"/>
  <c r="J100" i="13"/>
  <c r="J101" i="13"/>
  <c r="J102" i="13"/>
  <c r="J103" i="13"/>
  <c r="J104" i="13"/>
  <c r="J105" i="13"/>
  <c r="F93" i="13"/>
  <c r="J93" i="13" s="1"/>
  <c r="F92" i="13"/>
  <c r="D92" i="13"/>
  <c r="F91" i="13"/>
  <c r="J91" i="13" s="1"/>
  <c r="D90" i="13"/>
  <c r="J90" i="13" s="1"/>
  <c r="F87" i="13"/>
  <c r="D87" i="13"/>
  <c r="F86" i="13"/>
  <c r="J86" i="13" s="1"/>
  <c r="J275" i="13"/>
  <c r="J62" i="13"/>
  <c r="E43" i="12" l="1"/>
  <c r="J311" i="13"/>
  <c r="F196" i="13"/>
  <c r="F199" i="13"/>
  <c r="F201" i="13"/>
  <c r="J92" i="13"/>
  <c r="J87" i="13"/>
  <c r="A249" i="13"/>
  <c r="B246" i="13"/>
  <c r="A246" i="13"/>
  <c r="J248" i="13"/>
  <c r="J249" i="13" s="1"/>
  <c r="E41" i="12" s="1"/>
  <c r="F215" i="13" l="1"/>
  <c r="G195" i="13"/>
  <c r="J301" i="13"/>
  <c r="J302" i="13" s="1"/>
  <c r="E50" i="12" s="1"/>
  <c r="A302" i="13"/>
  <c r="B299" i="13"/>
  <c r="A299" i="13"/>
  <c r="A298" i="13"/>
  <c r="B294" i="13"/>
  <c r="A294" i="13"/>
  <c r="E49" i="12"/>
  <c r="A311" i="13"/>
  <c r="B303" i="13"/>
  <c r="A303" i="13"/>
  <c r="E51" i="12"/>
  <c r="A282" i="13"/>
  <c r="B272" i="13"/>
  <c r="A272" i="13"/>
  <c r="J195" i="13" l="1"/>
  <c r="A237" i="13"/>
  <c r="B231" i="13"/>
  <c r="A231" i="13"/>
  <c r="A230" i="13"/>
  <c r="J234" i="13"/>
  <c r="J237" i="13" s="1"/>
  <c r="B6" i="20"/>
  <c r="A62" i="20"/>
  <c r="I61" i="20"/>
  <c r="I62" i="20" s="1"/>
  <c r="B59" i="20"/>
  <c r="A59" i="20"/>
  <c r="A58" i="20"/>
  <c r="I57" i="20"/>
  <c r="I58" i="20" s="1"/>
  <c r="B55" i="20"/>
  <c r="A55" i="20"/>
  <c r="A54" i="20"/>
  <c r="I53" i="20"/>
  <c r="I52" i="20"/>
  <c r="I54" i="20" s="1"/>
  <c r="B50" i="20"/>
  <c r="A50" i="20"/>
  <c r="A49" i="20"/>
  <c r="I48" i="20"/>
  <c r="I49" i="20" s="1"/>
  <c r="B46" i="20"/>
  <c r="A46" i="20"/>
  <c r="A45" i="20"/>
  <c r="I44" i="20"/>
  <c r="I43" i="20"/>
  <c r="B41" i="20"/>
  <c r="A41" i="20"/>
  <c r="A40" i="20"/>
  <c r="I39" i="20"/>
  <c r="I40" i="20" s="1"/>
  <c r="B37" i="20"/>
  <c r="A37" i="20"/>
  <c r="A36" i="20"/>
  <c r="A35" i="20"/>
  <c r="I34" i="20"/>
  <c r="I35" i="20" s="1"/>
  <c r="G17" i="14" s="1"/>
  <c r="B32" i="20"/>
  <c r="A32" i="20"/>
  <c r="I31" i="20"/>
  <c r="G16" i="14" s="1"/>
  <c r="A31" i="20"/>
  <c r="I30" i="20"/>
  <c r="B28" i="20"/>
  <c r="A28" i="20"/>
  <c r="A27" i="20"/>
  <c r="I26" i="20"/>
  <c r="I25" i="20"/>
  <c r="I27" i="20" s="1"/>
  <c r="G15" i="14" s="1"/>
  <c r="B23" i="20"/>
  <c r="A23" i="20"/>
  <c r="A22" i="20"/>
  <c r="I21" i="20"/>
  <c r="I22" i="20" s="1"/>
  <c r="G14" i="14" s="1"/>
  <c r="B19" i="20"/>
  <c r="A19" i="20"/>
  <c r="A18" i="20"/>
  <c r="I17" i="20"/>
  <c r="I16" i="20"/>
  <c r="B14" i="20"/>
  <c r="A14" i="20"/>
  <c r="A13" i="20"/>
  <c r="I12" i="20"/>
  <c r="I13" i="20" s="1"/>
  <c r="G11" i="14" s="1"/>
  <c r="B10" i="20"/>
  <c r="A10" i="20"/>
  <c r="B9" i="20"/>
  <c r="A9" i="20"/>
  <c r="H6" i="20"/>
  <c r="G6" i="20"/>
  <c r="A6" i="20"/>
  <c r="A5" i="20"/>
  <c r="A4" i="20"/>
  <c r="A39" i="14"/>
  <c r="G38" i="14"/>
  <c r="I38" i="14" s="1"/>
  <c r="A38" i="14"/>
  <c r="G37" i="14"/>
  <c r="I37" i="14" s="1"/>
  <c r="A37" i="14"/>
  <c r="G36" i="14"/>
  <c r="I36" i="14" s="1"/>
  <c r="A36" i="14"/>
  <c r="G35" i="14"/>
  <c r="I35" i="14" s="1"/>
  <c r="A35" i="14"/>
  <c r="I34" i="14"/>
  <c r="A34" i="14"/>
  <c r="G33" i="14"/>
  <c r="I33" i="14" s="1"/>
  <c r="A33" i="14"/>
  <c r="G32" i="14"/>
  <c r="F32" i="14"/>
  <c r="E32" i="14"/>
  <c r="C32" i="14"/>
  <c r="A32" i="14"/>
  <c r="B30" i="14"/>
  <c r="I45" i="20" l="1"/>
  <c r="I18" i="20"/>
  <c r="G12" i="14" s="1"/>
  <c r="E37" i="12"/>
  <c r="B36" i="20" l="1"/>
  <c r="E185" i="13" l="1"/>
  <c r="F185" i="13" s="1"/>
  <c r="E186" i="13"/>
  <c r="F186" i="13" s="1"/>
  <c r="E187" i="13"/>
  <c r="F187" i="13" s="1"/>
  <c r="E184" i="13"/>
  <c r="F184" i="13" s="1"/>
  <c r="E189" i="13" l="1"/>
  <c r="F189" i="13" s="1"/>
  <c r="E190" i="13"/>
  <c r="F190" i="13" s="1"/>
  <c r="E191" i="13"/>
  <c r="F191" i="13" s="1"/>
  <c r="E192" i="13"/>
  <c r="F192" i="13" s="1"/>
  <c r="E188" i="13"/>
  <c r="F188" i="13" s="1"/>
  <c r="J77" i="13"/>
  <c r="J78" i="13"/>
  <c r="J79" i="13"/>
  <c r="J76" i="13"/>
  <c r="F193" i="13" l="1"/>
  <c r="J17" i="13"/>
  <c r="E84" i="13" l="1"/>
  <c r="E83" i="13"/>
  <c r="E82" i="13"/>
  <c r="E81" i="13"/>
  <c r="E80" i="13"/>
  <c r="E118" i="13"/>
  <c r="J118" i="13" s="1"/>
  <c r="E117" i="13"/>
  <c r="J117" i="13" s="1"/>
  <c r="E116" i="13"/>
  <c r="J116" i="13" s="1"/>
  <c r="E115" i="13"/>
  <c r="J115" i="13" s="1"/>
  <c r="E114" i="13"/>
  <c r="J114" i="13" s="1"/>
  <c r="J112" i="13"/>
  <c r="J110" i="13"/>
  <c r="J168" i="13"/>
  <c r="J169" i="13"/>
  <c r="J170" i="13"/>
  <c r="J171" i="13"/>
  <c r="J113" i="13"/>
  <c r="J111" i="13"/>
  <c r="J179" i="13" l="1"/>
  <c r="J140" i="13"/>
  <c r="J331" i="13"/>
  <c r="J330" i="13"/>
  <c r="J334" i="13" l="1"/>
  <c r="I27" i="14"/>
  <c r="C11" i="14"/>
  <c r="I17" i="14"/>
  <c r="A12" i="14"/>
  <c r="A13" i="14"/>
  <c r="A14" i="14"/>
  <c r="A15" i="14"/>
  <c r="A16" i="14"/>
  <c r="A17" i="14"/>
  <c r="A11" i="14"/>
  <c r="A23" i="14"/>
  <c r="A24" i="14"/>
  <c r="A25" i="14"/>
  <c r="A26" i="14"/>
  <c r="A27" i="14"/>
  <c r="A28" i="14"/>
  <c r="A22" i="14"/>
  <c r="A29" i="14"/>
  <c r="I28" i="14"/>
  <c r="I26" i="14"/>
  <c r="I25" i="14"/>
  <c r="I24" i="14"/>
  <c r="I23" i="14"/>
  <c r="I22" i="14"/>
  <c r="I15" i="14"/>
  <c r="I14" i="14"/>
  <c r="G6" i="14"/>
  <c r="I13" i="14"/>
  <c r="A18" i="14"/>
  <c r="I12" i="14" l="1"/>
  <c r="I29" i="14"/>
  <c r="I16" i="14"/>
  <c r="J221" i="13"/>
  <c r="J222" i="13"/>
  <c r="J220" i="13"/>
  <c r="B217" i="13"/>
  <c r="A217" i="13"/>
  <c r="J230" i="13" l="1"/>
  <c r="E36" i="12" s="1"/>
  <c r="I19" i="14"/>
  <c r="H32" i="14"/>
  <c r="I32" i="14" s="1"/>
  <c r="I39" i="14" s="1"/>
  <c r="I30" i="14" s="1"/>
  <c r="G37" i="12" s="1"/>
  <c r="H11" i="14"/>
  <c r="I11" i="14" s="1"/>
  <c r="I18" i="14" s="1"/>
  <c r="I9" i="14" s="1"/>
  <c r="G36" i="12" s="1"/>
  <c r="A55" i="12" l="1"/>
  <c r="J339" i="13" l="1"/>
  <c r="J254" i="13"/>
  <c r="B6" i="18" l="1"/>
  <c r="A38" i="18"/>
  <c r="A34" i="18"/>
  <c r="L29" i="18"/>
  <c r="J24" i="18"/>
  <c r="J27" i="18" s="1"/>
  <c r="H6" i="12" s="1"/>
  <c r="H66" i="12" s="1"/>
  <c r="I66" i="12" s="1"/>
  <c r="A22" i="18"/>
  <c r="A21" i="18"/>
  <c r="A20" i="18"/>
  <c r="A19" i="18"/>
  <c r="A18" i="18"/>
  <c r="A6" i="18"/>
  <c r="A5" i="18"/>
  <c r="A4" i="18"/>
  <c r="H65" i="12" l="1"/>
  <c r="I65" i="12" s="1"/>
  <c r="H58" i="12"/>
  <c r="I58" i="12" s="1"/>
  <c r="H63" i="12"/>
  <c r="I63" i="12" s="1"/>
  <c r="H61" i="12"/>
  <c r="I61" i="12" s="1"/>
  <c r="H64" i="12"/>
  <c r="I64" i="12" s="1"/>
  <c r="H62" i="12"/>
  <c r="I62" i="12" s="1"/>
  <c r="H59" i="12"/>
  <c r="I59" i="12" s="1"/>
  <c r="H60" i="12"/>
  <c r="I60" i="12" s="1"/>
  <c r="H43" i="12"/>
  <c r="H57" i="12"/>
  <c r="I57" i="12" s="1"/>
  <c r="H50" i="12"/>
  <c r="I50" i="12" s="1"/>
  <c r="H41" i="12"/>
  <c r="I41" i="12" s="1"/>
  <c r="H51" i="12"/>
  <c r="I51" i="12" s="1"/>
  <c r="H49" i="12"/>
  <c r="I49" i="12" s="1"/>
  <c r="H46" i="12"/>
  <c r="H37" i="12"/>
  <c r="I37" i="12" s="1"/>
  <c r="H6" i="14"/>
  <c r="H36" i="12"/>
  <c r="I36" i="12" s="1"/>
  <c r="H47" i="12"/>
  <c r="H35" i="12"/>
  <c r="H54" i="12"/>
  <c r="H44" i="12"/>
  <c r="H33" i="12"/>
  <c r="H53" i="12"/>
  <c r="H32" i="12"/>
  <c r="H52" i="12"/>
  <c r="H31" i="12"/>
  <c r="H48" i="12"/>
  <c r="H38" i="12"/>
  <c r="H45" i="12"/>
  <c r="H34" i="12"/>
  <c r="H42" i="12"/>
  <c r="J26" i="18"/>
  <c r="L30" i="18"/>
  <c r="M29" i="18" s="1"/>
  <c r="B19" i="17"/>
  <c r="A21" i="17"/>
  <c r="A19" i="17"/>
  <c r="A17" i="17"/>
  <c r="B17" i="17"/>
  <c r="B15" i="17"/>
  <c r="B13" i="17"/>
  <c r="B11" i="17"/>
  <c r="A15" i="17"/>
  <c r="A13" i="17"/>
  <c r="A11" i="17"/>
  <c r="B21" i="17"/>
  <c r="A49" i="13"/>
  <c r="B54" i="13"/>
  <c r="A54" i="13"/>
  <c r="B50" i="13"/>
  <c r="A50" i="13"/>
  <c r="B46" i="13"/>
  <c r="A46" i="13"/>
  <c r="B42" i="13"/>
  <c r="A42" i="13"/>
  <c r="B36" i="13"/>
  <c r="B32" i="13"/>
  <c r="B28" i="13"/>
  <c r="B24" i="13"/>
  <c r="B20" i="13"/>
  <c r="B14" i="13"/>
  <c r="H10" i="13"/>
  <c r="B245" i="13"/>
  <c r="A245" i="13"/>
  <c r="B72" i="13"/>
  <c r="A72" i="13"/>
  <c r="B58" i="13"/>
  <c r="A58" i="13"/>
  <c r="B41" i="13"/>
  <c r="A41" i="13"/>
  <c r="I6" i="12"/>
  <c r="I67" i="12" l="1"/>
  <c r="I6" i="14"/>
  <c r="J6" i="18"/>
  <c r="K16" i="12"/>
  <c r="L16" i="12" s="1"/>
  <c r="H24" i="17" l="1"/>
  <c r="F24" i="17"/>
  <c r="I24" i="17"/>
  <c r="I23" i="17" s="1"/>
  <c r="A19" i="12"/>
  <c r="A12" i="12"/>
  <c r="B6" i="14"/>
  <c r="A59" i="13"/>
  <c r="B59" i="13"/>
  <c r="J61" i="13"/>
  <c r="J63" i="13" s="1"/>
  <c r="A63" i="13"/>
  <c r="A64" i="13"/>
  <c r="B64" i="13"/>
  <c r="J66" i="13"/>
  <c r="J67" i="13"/>
  <c r="J68" i="13"/>
  <c r="J69" i="13"/>
  <c r="J70" i="13"/>
  <c r="A71" i="13"/>
  <c r="J23" i="17" l="1"/>
  <c r="R24" i="17"/>
  <c r="G23" i="17"/>
  <c r="S24" i="17"/>
  <c r="H23" i="17"/>
  <c r="J71" i="13"/>
  <c r="T24" i="17" l="1"/>
  <c r="A57" i="13"/>
  <c r="A53" i="13"/>
  <c r="A45" i="13"/>
  <c r="A39" i="12" l="1"/>
  <c r="A15" i="12" l="1"/>
  <c r="A16" i="12"/>
  <c r="A17" i="12"/>
  <c r="A18" i="12"/>
  <c r="J148" i="13"/>
  <c r="J147" i="13"/>
  <c r="J146" i="13"/>
  <c r="J145" i="13"/>
  <c r="J144" i="13"/>
  <c r="J164" i="13" l="1"/>
  <c r="J81" i="13"/>
  <c r="J82" i="13"/>
  <c r="J83" i="13"/>
  <c r="J84" i="13"/>
  <c r="J80" i="13"/>
  <c r="J316" i="13"/>
  <c r="J317" i="13"/>
  <c r="J318" i="13"/>
  <c r="J319" i="13"/>
  <c r="J320" i="13"/>
  <c r="J321" i="13"/>
  <c r="J322" i="13"/>
  <c r="A18" i="13"/>
  <c r="J16" i="13"/>
  <c r="J18" i="13" s="1"/>
  <c r="G184" i="13" l="1"/>
  <c r="J184" i="13" s="1"/>
  <c r="J216" i="13" s="1"/>
  <c r="J106" i="13"/>
  <c r="E11" i="12"/>
  <c r="N16" i="12"/>
  <c r="N15" i="12"/>
  <c r="N17" i="12" l="1"/>
  <c r="A342" i="13" l="1"/>
  <c r="B335" i="13"/>
  <c r="A335" i="13"/>
  <c r="A334" i="13"/>
  <c r="B327" i="13"/>
  <c r="A327" i="13"/>
  <c r="A326" i="13"/>
  <c r="B312" i="13"/>
  <c r="A312" i="13"/>
  <c r="A293" i="13"/>
  <c r="B287" i="13"/>
  <c r="A287" i="13"/>
  <c r="A286" i="13"/>
  <c r="J292" i="13"/>
  <c r="B283" i="13"/>
  <c r="A283" i="13"/>
  <c r="A271" i="13"/>
  <c r="B267" i="13"/>
  <c r="A267" i="13"/>
  <c r="A266" i="13"/>
  <c r="B262" i="13"/>
  <c r="A262" i="13"/>
  <c r="J293" i="13" l="1"/>
  <c r="D324" i="13"/>
  <c r="J324" i="13" s="1"/>
  <c r="E48" i="12"/>
  <c r="I48" i="12" s="1"/>
  <c r="J315" i="13"/>
  <c r="J56" i="13"/>
  <c r="J57" i="13" s="1"/>
  <c r="E24" i="12" s="1"/>
  <c r="J52" i="13"/>
  <c r="J53" i="13" s="1"/>
  <c r="E23" i="12" s="1"/>
  <c r="E28" i="12"/>
  <c r="J326" i="13" l="1"/>
  <c r="H21" i="12"/>
  <c r="H24" i="12"/>
  <c r="I24" i="12" s="1"/>
  <c r="H23" i="12"/>
  <c r="I23" i="12" s="1"/>
  <c r="H22" i="12"/>
  <c r="E52" i="12"/>
  <c r="I52" i="12" s="1"/>
  <c r="E27" i="12"/>
  <c r="J48" i="13"/>
  <c r="J49" i="13" s="1"/>
  <c r="E22" i="12" s="1"/>
  <c r="J39" i="13"/>
  <c r="J38" i="13"/>
  <c r="J44" i="13"/>
  <c r="J45" i="13" s="1"/>
  <c r="E21" i="12" s="1"/>
  <c r="H15" i="12"/>
  <c r="H16" i="12"/>
  <c r="H17" i="12"/>
  <c r="H18" i="12"/>
  <c r="A40" i="13"/>
  <c r="A35" i="13"/>
  <c r="J34" i="13"/>
  <c r="J35" i="13" s="1"/>
  <c r="E17" i="12" s="1"/>
  <c r="A29" i="12"/>
  <c r="A25" i="12"/>
  <c r="H28" i="12"/>
  <c r="I28" i="12" s="1"/>
  <c r="H27" i="12"/>
  <c r="A32" i="13"/>
  <c r="A36" i="13"/>
  <c r="I17" i="12" l="1"/>
  <c r="I22" i="12"/>
  <c r="I21" i="12"/>
  <c r="I27" i="12"/>
  <c r="J40" i="13"/>
  <c r="E18" i="12" s="1"/>
  <c r="I18" i="12" s="1"/>
  <c r="A257" i="13"/>
  <c r="B250" i="13"/>
  <c r="J253" i="13"/>
  <c r="E34" i="12"/>
  <c r="J30" i="13"/>
  <c r="J31" i="13" s="1"/>
  <c r="E16" i="12" s="1"/>
  <c r="I16" i="12" s="1"/>
  <c r="J26" i="13"/>
  <c r="J27" i="13" s="1"/>
  <c r="E15" i="12" s="1"/>
  <c r="I15" i="12" s="1"/>
  <c r="J22" i="13"/>
  <c r="A250" i="13"/>
  <c r="J257" i="13" l="1"/>
  <c r="G285" i="13" s="1"/>
  <c r="I25" i="12"/>
  <c r="G16" i="17" s="1"/>
  <c r="I29" i="12"/>
  <c r="J23" i="13"/>
  <c r="E14" i="12" s="1"/>
  <c r="E31" i="12"/>
  <c r="E32" i="12"/>
  <c r="E33" i="12"/>
  <c r="A244" i="13"/>
  <c r="A216" i="13"/>
  <c r="J18" i="17" l="1"/>
  <c r="G18" i="17"/>
  <c r="H18" i="17"/>
  <c r="I18" i="17"/>
  <c r="J16" i="17"/>
  <c r="I16" i="17"/>
  <c r="H16" i="17"/>
  <c r="G264" i="13"/>
  <c r="J264" i="13" s="1"/>
  <c r="J266" i="13" s="1"/>
  <c r="F18" i="17"/>
  <c r="R18" i="17" s="1"/>
  <c r="E42" i="12"/>
  <c r="I42" i="12" s="1"/>
  <c r="E53" i="12"/>
  <c r="I53" i="12" s="1"/>
  <c r="F16" i="17"/>
  <c r="B238" i="13"/>
  <c r="A238" i="13"/>
  <c r="J241" i="13"/>
  <c r="J244" i="13" s="1"/>
  <c r="A179" i="13"/>
  <c r="B180" i="13"/>
  <c r="A180" i="13"/>
  <c r="B165" i="13"/>
  <c r="A165" i="13"/>
  <c r="I34" i="12"/>
  <c r="A164" i="13"/>
  <c r="A140" i="13"/>
  <c r="B141" i="13"/>
  <c r="A141" i="13"/>
  <c r="I33" i="12"/>
  <c r="B107" i="13"/>
  <c r="A107" i="13"/>
  <c r="I32" i="12"/>
  <c r="A106" i="13"/>
  <c r="B73" i="13"/>
  <c r="A73" i="13"/>
  <c r="A31" i="13"/>
  <c r="A27" i="13"/>
  <c r="A24" i="13"/>
  <c r="A28" i="13"/>
  <c r="I17" i="17" l="1"/>
  <c r="S16" i="17"/>
  <c r="J17" i="17"/>
  <c r="J15" i="17"/>
  <c r="S18" i="17"/>
  <c r="H15" i="17"/>
  <c r="I15" i="17"/>
  <c r="G15" i="17"/>
  <c r="J285" i="13"/>
  <c r="J286" i="13" s="1"/>
  <c r="E47" i="12" s="1"/>
  <c r="I47" i="12" s="1"/>
  <c r="G269" i="13"/>
  <c r="R16" i="17"/>
  <c r="I31" i="12"/>
  <c r="E38" i="12"/>
  <c r="J338" i="13" l="1"/>
  <c r="E44" i="12"/>
  <c r="I44" i="12" s="1"/>
  <c r="E35" i="12"/>
  <c r="I35" i="12" s="1"/>
  <c r="G20" i="17" s="1"/>
  <c r="B6" i="17"/>
  <c r="P6" i="17"/>
  <c r="O6" i="17"/>
  <c r="N6" i="17"/>
  <c r="A6" i="17"/>
  <c r="A5" i="17"/>
  <c r="A4" i="17"/>
  <c r="J342" i="13" l="1"/>
  <c r="E54" i="12" s="1"/>
  <c r="I54" i="12" s="1"/>
  <c r="J269" i="13"/>
  <c r="A14" i="12"/>
  <c r="A11" i="12"/>
  <c r="A14" i="13" s="1"/>
  <c r="J276" i="13" l="1"/>
  <c r="J282" i="13" s="1"/>
  <c r="G270" i="13" s="1"/>
  <c r="J270" i="13" s="1"/>
  <c r="J271" i="13" s="1"/>
  <c r="E45" i="12" s="1"/>
  <c r="I45" i="12" s="1"/>
  <c r="G22" i="17" s="1"/>
  <c r="A23" i="13"/>
  <c r="E46" i="12" l="1"/>
  <c r="I46" i="12" s="1"/>
  <c r="I55" i="12" s="1"/>
  <c r="A5" i="13"/>
  <c r="A6" i="14"/>
  <c r="A5" i="14"/>
  <c r="A4" i="14"/>
  <c r="A20" i="13"/>
  <c r="B19" i="13"/>
  <c r="A19" i="13"/>
  <c r="H14" i="12"/>
  <c r="I14" i="12" s="1"/>
  <c r="B9" i="13"/>
  <c r="A9" i="13"/>
  <c r="J6" i="13"/>
  <c r="I6" i="13"/>
  <c r="H6" i="13"/>
  <c r="A6" i="13"/>
  <c r="B6" i="13"/>
  <c r="A4" i="13"/>
  <c r="J22" i="17" l="1"/>
  <c r="I22" i="17"/>
  <c r="H22" i="17"/>
  <c r="I38" i="12"/>
  <c r="H20" i="17" s="1"/>
  <c r="S22" i="17" l="1"/>
  <c r="S20" i="17"/>
  <c r="I39" i="12"/>
  <c r="F20" i="17" s="1"/>
  <c r="J19" i="17" l="1"/>
  <c r="I19" i="17"/>
  <c r="G19" i="17"/>
  <c r="H19" i="17"/>
  <c r="R20" i="17"/>
  <c r="I19" i="12"/>
  <c r="J14" i="17" s="1"/>
  <c r="H14" i="17" l="1"/>
  <c r="H26" i="17" s="1"/>
  <c r="F14" i="17"/>
  <c r="G14" i="17"/>
  <c r="I14" i="17"/>
  <c r="I26" i="17" s="1"/>
  <c r="T20" i="17"/>
  <c r="G13" i="17" l="1"/>
  <c r="I13" i="17"/>
  <c r="H13" i="17"/>
  <c r="S14" i="17"/>
  <c r="J13" i="17"/>
  <c r="R14" i="17" l="1"/>
  <c r="T14" i="17" s="1"/>
  <c r="T16" i="17" l="1"/>
  <c r="H17" i="17"/>
  <c r="G17" i="17"/>
  <c r="T18" i="17"/>
  <c r="F22" i="17"/>
  <c r="H21" i="17" s="1"/>
  <c r="D13" i="13"/>
  <c r="F13" i="13" s="1"/>
  <c r="H13" i="13" s="1"/>
  <c r="G11" i="12" s="1"/>
  <c r="H11" i="12" s="1"/>
  <c r="I11" i="12" s="1"/>
  <c r="I12" i="12" l="1"/>
  <c r="F12" i="17"/>
  <c r="G21" i="17"/>
  <c r="J21" i="17"/>
  <c r="I21" i="17"/>
  <c r="R22" i="17"/>
  <c r="T22" i="17" s="1"/>
  <c r="I68" i="12" l="1"/>
  <c r="F26" i="17" s="1"/>
  <c r="J12" i="17"/>
  <c r="J26" i="17" s="1"/>
  <c r="J25" i="17" s="1"/>
  <c r="R12" i="17"/>
  <c r="I11" i="17"/>
  <c r="H11" i="17"/>
  <c r="S26" i="17"/>
  <c r="G12" i="17"/>
  <c r="G26" i="17" s="1"/>
  <c r="G25" i="17" s="1"/>
  <c r="K17" i="12"/>
  <c r="L17" i="12" s="1"/>
  <c r="I25" i="17" l="1"/>
  <c r="H25" i="17"/>
  <c r="F25" i="17" s="1"/>
  <c r="R26" i="17"/>
  <c r="T26" i="17" s="1"/>
  <c r="J11" i="17"/>
  <c r="G11" i="17"/>
  <c r="S12" i="17"/>
  <c r="T12" i="17" s="1"/>
  <c r="S25" i="17" l="1"/>
  <c r="R25" i="17"/>
  <c r="T25" i="17" l="1"/>
</calcChain>
</file>

<file path=xl/sharedStrings.xml><?xml version="1.0" encoding="utf-8"?>
<sst xmlns="http://schemas.openxmlformats.org/spreadsheetml/2006/main" count="1226" uniqueCount="400">
  <si>
    <t>OBRA POR EXECUÇÃO INDIRETA</t>
  </si>
  <si>
    <t>Objeto:</t>
  </si>
  <si>
    <t>BDI:</t>
  </si>
  <si>
    <t>PLANILHA ORÇAMENTÁRIA</t>
  </si>
  <si>
    <t>Item</t>
  </si>
  <si>
    <t>Preço Referência</t>
  </si>
  <si>
    <t>Descrição</t>
  </si>
  <si>
    <t>Qtde.</t>
  </si>
  <si>
    <t>Preço unitário sem BDI</t>
  </si>
  <si>
    <t>Preço unitário com BDI</t>
  </si>
  <si>
    <t>P. Total</t>
  </si>
  <si>
    <t>MEMÓRIA DE CÁLCULO</t>
  </si>
  <si>
    <t>Detalhe</t>
  </si>
  <si>
    <t>Extensão</t>
  </si>
  <si>
    <t>Largura</t>
  </si>
  <si>
    <t>Altura</t>
  </si>
  <si>
    <t>Quantidade</t>
  </si>
  <si>
    <t>Lados</t>
  </si>
  <si>
    <t>Área</t>
  </si>
  <si>
    <t>Total</t>
  </si>
  <si>
    <t>Unidade</t>
  </si>
  <si>
    <t>Coeficiente</t>
  </si>
  <si>
    <t>Custo direto da obra
(com BDI)</t>
  </si>
  <si>
    <t>Custo direto da obra
(sem BDI)</t>
  </si>
  <si>
    <t>Observações:</t>
  </si>
  <si>
    <r>
      <t xml:space="preserve">PREFEITURA MUNICIPAL
</t>
    </r>
    <r>
      <rPr>
        <b/>
        <sz val="11"/>
        <rFont val="Arial"/>
        <family val="2"/>
      </rPr>
      <t>Secretaria de Obras e Serviços Urbanos</t>
    </r>
  </si>
  <si>
    <t>Setor requisitante: Secretaria Municipal de Obras e Serviços Urbanos</t>
  </si>
  <si>
    <t>Dedução</t>
  </si>
  <si>
    <t>M2</t>
  </si>
  <si>
    <t>M3</t>
  </si>
  <si>
    <t>UN</t>
  </si>
  <si>
    <t>M</t>
  </si>
  <si>
    <t>KG</t>
  </si>
  <si>
    <t>H</t>
  </si>
  <si>
    <t>MOBILIZAÇÃO E DESMOBILIZAÇÃO</t>
  </si>
  <si>
    <t>VB</t>
  </si>
  <si>
    <t>CANTEIRO DE OBRAS</t>
  </si>
  <si>
    <t>COMPOSIÇÃO DE CUSTOS UNITÁRIOS</t>
  </si>
  <si>
    <t>8) Os LICITANTES deverão apresentar composição do BDI utilizado em sua proposta comercial, detalhando cada percentual separadamente (Administração central, seguros, riscos, garantias, despesas financeiras, lucro/remuneração, impostos).  O percentual de ISS deverá seguir a legislação Municipal. A CONTRATANTE realizará retenção do ISS conforme alíquota adotada na composição da empresa vencedora do processo licitatório.</t>
  </si>
  <si>
    <t>7) Caso a Fiscalização Municipal entenda como inviável a execução de algum item previsto nesta planilha, a Prefeitura Municipal reserva-se o direito de realizar supressão total ou parcial do(s) mesmo(s), de acordo com os limites estabelecidos pela Lei nº 8.666/93.</t>
  </si>
  <si>
    <t>6) Os serviços deverão ser executados rigorosamente conforme Planilha Orçamentária, Especificação Técnica e Projetos.</t>
  </si>
  <si>
    <t xml:space="preserve">5) A Contribuição Previdenciária sobre a Receita Bruta (CPRB) - Lei 13.161/2015, desonera a folha de salários de diversas atividades econômicas da construção civil e impacta no cálculo do BDI mediante a majoração do percentual correspondente à 4,5% sobre o preço total da obra, em substituição à contribuição previdenciária patronal de 20% prevista nos encargos sociais. </t>
  </si>
  <si>
    <r>
      <t xml:space="preserve">4) O BDI adotado foi de </t>
    </r>
    <r>
      <rPr>
        <b/>
        <sz val="10.5"/>
        <rFont val="Arial"/>
        <family val="2"/>
      </rPr>
      <t>30,38%,</t>
    </r>
    <r>
      <rPr>
        <sz val="10.5"/>
        <rFont val="Arial"/>
        <family val="2"/>
      </rPr>
      <t xml:space="preserve"> </t>
    </r>
    <r>
      <rPr>
        <b/>
        <sz val="10.5"/>
        <rFont val="Arial"/>
        <family val="2"/>
      </rPr>
      <t>com desoneração</t>
    </r>
    <r>
      <rPr>
        <sz val="10.5"/>
        <rFont val="Arial"/>
        <family val="2"/>
      </rPr>
      <t xml:space="preserve">, conforme Acórdão nº 2622/2013 e Lei 13.161 de 31/08/15. Os percentuais adotados para o cálculo do BDI estão detalhados em planilha anexa.  Conforme legislação tributária Municipal, </t>
    </r>
    <r>
      <rPr>
        <b/>
        <sz val="10.5"/>
        <rFont val="Arial"/>
        <family val="2"/>
      </rPr>
      <t>a base de cálculo do ISS corresponde a 90,00%</t>
    </r>
    <r>
      <rPr>
        <sz val="10.5"/>
        <rFont val="Arial"/>
        <family val="2"/>
      </rPr>
      <t xml:space="preserve"> do valor deste tipo de obra e, sobre esta base, </t>
    </r>
    <r>
      <rPr>
        <b/>
        <sz val="10.5"/>
        <rFont val="Arial"/>
        <family val="2"/>
      </rPr>
      <t>incide ISS com alíquota de 5,00%</t>
    </r>
    <r>
      <rPr>
        <sz val="10.5"/>
        <rFont val="Arial"/>
        <family val="2"/>
      </rPr>
      <t>.</t>
    </r>
  </si>
  <si>
    <r>
      <t xml:space="preserve">3) Os </t>
    </r>
    <r>
      <rPr>
        <b/>
        <sz val="10.5"/>
        <rFont val="Arial"/>
        <family val="2"/>
      </rPr>
      <t>Encargos complementares</t>
    </r>
    <r>
      <rPr>
        <sz val="10.5"/>
        <rFont val="Arial"/>
        <family val="2"/>
      </rPr>
      <t xml:space="preserve"> são custos associados à mão de obra - alimentação, transporte, equipamentos de proteção individual, ferramentas e outros.</t>
    </r>
  </si>
  <si>
    <r>
      <t xml:space="preserve">2) Estão incluídos nos custos de cada item: </t>
    </r>
    <r>
      <rPr>
        <b/>
        <sz val="10.5"/>
        <rFont val="Arial"/>
        <family val="2"/>
      </rPr>
      <t xml:space="preserve">Fornecimento e transporte de todos os materiais e equipamentos + mão de obra + encargos sociais + encargos complementares. </t>
    </r>
    <r>
      <rPr>
        <sz val="10.5"/>
        <rFont val="Arial"/>
        <family val="2"/>
      </rPr>
      <t xml:space="preserve">No preço unitário estão incluidos todos os componentes necessários para execução de cada serviço, mesmo aqueles que embora não citados sejam indispensáveis para o seu desenvolvimento. </t>
    </r>
  </si>
  <si>
    <t>1) Os preços unitários da planilha são referenciais, limites máximos permitidos e correspondem ao custo total de cada serviço. Foram utilizados preços de referência com desoneração, conforme Lei 13.161/2015.</t>
  </si>
  <si>
    <t>Instruções:</t>
  </si>
  <si>
    <t>TOTAL</t>
  </si>
  <si>
    <t>PAVIMENTAÇÃO</t>
  </si>
  <si>
    <t>CRONOGRAMA FÍSICO / FINANCEIRO</t>
  </si>
  <si>
    <t>ITEM</t>
  </si>
  <si>
    <t>FÍSICO/ FINANCEIRO</t>
  </si>
  <si>
    <t>TOTAL  ETAPAS</t>
  </si>
  <si>
    <t>MÊS 1</t>
  </si>
  <si>
    <t>MÊS 2</t>
  </si>
  <si>
    <t>MÊS 3</t>
  </si>
  <si>
    <t>MÊS 4</t>
  </si>
  <si>
    <t>MÊS 5</t>
  </si>
  <si>
    <t>MÊS 6</t>
  </si>
  <si>
    <t>MÊS 7</t>
  </si>
  <si>
    <t>MÊS 8</t>
  </si>
  <si>
    <t>MÊS 9</t>
  </si>
  <si>
    <t>MÊS 10</t>
  </si>
  <si>
    <t>Físico %</t>
  </si>
  <si>
    <t>Financeiro</t>
  </si>
  <si>
    <t>ED-16348</t>
  </si>
  <si>
    <t>MÊS</t>
  </si>
  <si>
    <t>DRENAGEM PLUVIAL</t>
  </si>
  <si>
    <t>Escavação mecanizada de vala, com profundidade até 3,00m, largura menor 0,8m em solos de 1ª categoria</t>
  </si>
  <si>
    <t>Tubo de concreto armado PA1, DN 400mm, junta rígida tipo ponta e bolsa, incluindo fornecimento, assentamento e rejuntamento</t>
  </si>
  <si>
    <t>Reaterro de vala com compactação mecânica através de placa vibratória</t>
  </si>
  <si>
    <t>Tubo de concreto armado PA1, DN 600mm, junta rígida tipo ponta e bolsa, incluindo fornecimento, assentamento e rejuntamento</t>
  </si>
  <si>
    <t>Fonte</t>
  </si>
  <si>
    <t>-</t>
  </si>
  <si>
    <t>ED-16356</t>
  </si>
  <si>
    <t>Ligações provisórias para container tipo 1 (correspondente ao código ED-16348)</t>
  </si>
  <si>
    <t>Mobilização e desmobilização de container, inclusive instalação e transporte com caminhão guindauto (munck)</t>
  </si>
  <si>
    <t>ADMINISTRAÇAO LOCAL</t>
  </si>
  <si>
    <t>Encarregado geral com encargos complementares</t>
  </si>
  <si>
    <t>3.1</t>
  </si>
  <si>
    <t>SINALIZAÇÃO</t>
  </si>
  <si>
    <t>01 (um) banheiro químico durante o perído de execução da obra</t>
  </si>
  <si>
    <t>01 (um) container durante o período de execução da obra</t>
  </si>
  <si>
    <t>Ligações provisórias para 01 (um) container durante o período de execução da obra</t>
  </si>
  <si>
    <t>Mobilização de container</t>
  </si>
  <si>
    <t>Desmobilização de container</t>
  </si>
  <si>
    <t>Mês</t>
  </si>
  <si>
    <t>Quantidade
(horas/dia)</t>
  </si>
  <si>
    <t>Quantidade
(dia/mês)</t>
  </si>
  <si>
    <t>Quantidade (mês)</t>
  </si>
  <si>
    <t>Auxiliar de topógrafo com encargos complementares</t>
  </si>
  <si>
    <t>BDI</t>
  </si>
  <si>
    <t>Conforme legislação tributária municipal, definir estimativa de percentual da base de cálculo para o ISS:</t>
  </si>
  <si>
    <t>Sobre a base de cálculo, definir a respectiva alíquota do ISS (entre 2% e 5%):</t>
  </si>
  <si>
    <t>BDI 1</t>
  </si>
  <si>
    <t>TIPO DE OBRA</t>
  </si>
  <si>
    <t>Contrução e Reforma de Edifícios</t>
  </si>
  <si>
    <t>Itens</t>
  </si>
  <si>
    <t>Siglas</t>
  </si>
  <si>
    <t>% Adotado</t>
  </si>
  <si>
    <t>AC</t>
  </si>
  <si>
    <t>SG</t>
  </si>
  <si>
    <t>R</t>
  </si>
  <si>
    <t>DF</t>
  </si>
  <si>
    <t>L</t>
  </si>
  <si>
    <t>Tributos (impostos COFINS 3%, e  PIS 0,65%)</t>
  </si>
  <si>
    <t>CP</t>
  </si>
  <si>
    <t>Tributos (ISS, variável de acordo com o município)</t>
  </si>
  <si>
    <t>ISS</t>
  </si>
  <si>
    <t>Tributos (Contribuição Previdenciária sobre a Receita Bruta - 0% ou 4,5% - Desoneração)</t>
  </si>
  <si>
    <t>CPRB</t>
  </si>
  <si>
    <t>BDI SEM desoneração (Fórmula Acórdão TCU)</t>
  </si>
  <si>
    <t>BDI PAD</t>
  </si>
  <si>
    <t>BDI COM desoneração</t>
  </si>
  <si>
    <t>BDI DES</t>
  </si>
  <si>
    <t>Os valores de BDI foram calculados com o emprego da fórmula:</t>
  </si>
  <si>
    <t>4.1</t>
  </si>
  <si>
    <t>Demolição manual de pavimento poliédrica, inclusive afastamento</t>
  </si>
  <si>
    <t>Carga de material de qualquer natureza sobre caminhão basculante, de forma mecanizada</t>
  </si>
  <si>
    <t>M3XKM</t>
  </si>
  <si>
    <t>Quantitade</t>
  </si>
  <si>
    <t>Distância (km)</t>
  </si>
  <si>
    <t>Empolamento</t>
  </si>
  <si>
    <t xml:space="preserve">Carga de pedras poliédricas para transporte até o estoque da Secretaria de Obras </t>
  </si>
  <si>
    <t xml:space="preserve">Transporte de pedras poliédricas até o estoque da Secretaria de Obras </t>
  </si>
  <si>
    <t>Área a ser pavimentada.</t>
  </si>
  <si>
    <t>Remoção de meio-fio pré-moldado de concreto, inclusive carga</t>
  </si>
  <si>
    <t>Demolição de meio fio existente danificado</t>
  </si>
  <si>
    <t>Meio-fio em concreto pré-fabricado Fck ≥ 15MPa, dimensões 80x13x10x35 cm (comprimento x face inferior x face superior x altura), para vias urbanas, inclusive escavação e reaterro</t>
  </si>
  <si>
    <t>4.2</t>
  </si>
  <si>
    <t>Volume</t>
  </si>
  <si>
    <t>Referência
coeficiente</t>
  </si>
  <si>
    <t>Referência
custo unitário</t>
  </si>
  <si>
    <t>Fonte
custo unitário</t>
  </si>
  <si>
    <t>Custo unitário
(R$)</t>
  </si>
  <si>
    <t>Custo total
(R$)</t>
  </si>
  <si>
    <t>Boca de lobo simples, dimensões internas de 85x28x100cm (comp. x larg. x alt.) em alvenaria de blocos de concreto, cheios em concreto Fck ≥ 20MPa, sobre lastro de concreto 10cm, incluindo escavação e reaterro compactado, conforme projeto. Inclusive reboco para alvenaria interna, grelha GR 95 ferro fundido, cantoneira e bota fora (Tipo A - ferro fundido)</t>
  </si>
  <si>
    <t>Mobilização</t>
  </si>
  <si>
    <t>Dedução do volume ocupado pelos tubos</t>
  </si>
  <si>
    <t>Volume de escavação das valas</t>
  </si>
  <si>
    <t>Volume a ser deduzido</t>
  </si>
  <si>
    <t>Locação de banheiro químico, dimensão (110x120x230)cm, linha padrão, contendo uma (1) pia/higienizador de mãos, inclusive manutenção e mobilização/desmobilização</t>
  </si>
  <si>
    <t>Locação de container com isolamento térmico, tipo 1, para escritório de obra/almoxarifado, com medidas referenciais de (6) metros de comprimentos, (2,3) metros de largura, (2,5) metros de altura útil interna, inclusive ar condicionado e ligações elétricas internas</t>
  </si>
  <si>
    <t>Pavimentação de via em piso de concreto pré-moldado intertravado sobre camada de assentamento em pó de pedra, espessura de 6 cm, incluindo fornecimento e transporte de todos os materiais</t>
  </si>
  <si>
    <t>Sarjeta em concreto usinado, Fck ≥ 35 MPa, 30cm de base x 10cm de altura, incluindo formas e compactação do terreno</t>
  </si>
  <si>
    <t>Preparo do fundo de vala com largura menor que 1,5 m</t>
  </si>
  <si>
    <t>Cone para sinalização/isolamento de áreas, altura 75 cm, inclusive fornecimento e movimentação</t>
  </si>
  <si>
    <t>Placa de aço carbono com película refletiva grau técnico tipo I da ABNT, placa retangular (execução, incluindo fornecimento e transporte de todos os materiais, inclusive poste de sustentação)</t>
  </si>
  <si>
    <t>RO-42193</t>
  </si>
  <si>
    <t>5.1</t>
  </si>
  <si>
    <t>5.2</t>
  </si>
  <si>
    <t>5.3</t>
  </si>
  <si>
    <t>5.4</t>
  </si>
  <si>
    <t>5.5</t>
  </si>
  <si>
    <t>5.6</t>
  </si>
  <si>
    <t>6.1</t>
  </si>
  <si>
    <t>6.2</t>
  </si>
  <si>
    <t>6.3</t>
  </si>
  <si>
    <t>6.4</t>
  </si>
  <si>
    <t>6.5</t>
  </si>
  <si>
    <t>6.6</t>
  </si>
  <si>
    <t>6.7</t>
  </si>
  <si>
    <t>6.8</t>
  </si>
  <si>
    <t>Regularização e compactação de subleito de solo predominantemente argiloso</t>
  </si>
  <si>
    <t>Fornecimento e colocação de placa de obra em chapa galvanizada (3,00 x 1,50m) - em chapa galvanizada 0,26 afixadas com rebites 540 e parafusos 3/8, em estrutura metálica viga u 2" enrijecida com metalon 20 x 20, suporte em eucalipto autoclavado pintadas</t>
  </si>
  <si>
    <t>EVENTO</t>
  </si>
  <si>
    <t>ED-50152</t>
  </si>
  <si>
    <t>ED-50155</t>
  </si>
  <si>
    <t>ED-50137</t>
  </si>
  <si>
    <t>ED-27006</t>
  </si>
  <si>
    <t>ED-48549</t>
  </si>
  <si>
    <t>ED-48490</t>
  </si>
  <si>
    <t>ED-51132</t>
  </si>
  <si>
    <t>ED-48472</t>
  </si>
  <si>
    <t>SETOP
(JUN/2022)</t>
  </si>
  <si>
    <t>3.2</t>
  </si>
  <si>
    <t>3.3</t>
  </si>
  <si>
    <t>3.4</t>
  </si>
  <si>
    <t>Engenheiro/Arquiteto Junior</t>
  </si>
  <si>
    <t>ED-21776</t>
  </si>
  <si>
    <t>Topografo com encargos complementares</t>
  </si>
  <si>
    <t>CO-27348</t>
  </si>
  <si>
    <t>Avenida Hermínio Muzzi</t>
  </si>
  <si>
    <t>Rua Custódio Costa Lage</t>
  </si>
  <si>
    <t>Rua Agnelo Lage</t>
  </si>
  <si>
    <t>Rua Vicente Augusto</t>
  </si>
  <si>
    <t>Rua Ita Azul</t>
  </si>
  <si>
    <t>1º Trecho: Ramal BL05&gt;PV2</t>
  </si>
  <si>
    <t>1º Trecho: Ramal BL04&gt;PV2</t>
  </si>
  <si>
    <t>1º Trecho: Ramal BL03&gt;PV2</t>
  </si>
  <si>
    <t>1º Trecho: Ramal BL02&gt;PV1</t>
  </si>
  <si>
    <t>1º Trecho: Ramal BL01&gt;PV1</t>
  </si>
  <si>
    <t>SINAPI
(OUT/2022)</t>
  </si>
  <si>
    <t>5.7</t>
  </si>
  <si>
    <t>COMP-PMNE/MG</t>
  </si>
  <si>
    <t>Poço de visita para drenagem pluvial em alvenaria de blocos de concreto, cheios em concreto Fck ≥ 20MPa, dimensões internas de 100X100cm, altura de 150 cm a 300 cm (varíável de acordo com perfil da rede), para rede DN 400mm e DN600mm, com tampa de concreto armado e reboco interno, incluindo escavação e reaterro compactado, conforme projeto</t>
  </si>
  <si>
    <t>Descrição do insumo / serviço</t>
  </si>
  <si>
    <t>Execução de radier, espessura de 15 cm, Fck = 30 MPa, com uso de formas em madeira serrada inclusive execução de lastro com material granular (pedra britada n.2), escavação manual e compactação mecânica de solo</t>
  </si>
  <si>
    <t>Corte e dobra de aço CA-50, diâmetro de 10,0 mm (0,617kg/m), utilizado em estrutura diversas (Armadura positiva e negativa em duas direções para radier)</t>
  </si>
  <si>
    <t>Base para poço de visita retangular para drenagem, em alvenaria com blocos de concreto, dimensões internas = 1,00 x 1,00 m, profundidade = 1,50, excluindo tampão</t>
  </si>
  <si>
    <t>Confecção de tampa em concreto armado, com armadura de ø 10,00 mm em duas direções, para poço de visita, Fck ≥ 35 MPa, inclusive lançamento de concreto, adensamento com vibrador de imersão, acabamento e formas</t>
  </si>
  <si>
    <t>Corte e dobra de aço CA-50, diâmetro de 10,0 mm (0,617kg/m), utilizado em estrutura diversas (Armadura positiva e negativa em duas direções para tampa de concreto</t>
  </si>
  <si>
    <t>Reboco, em argamassa traço 1:3 (Em volume de cimento e areia média úmida) para paredes internas, preparo mecânico com betoneira 600 L, aplicado manualmente em faces internas de paredes, espessura de 35 mm.</t>
  </si>
  <si>
    <t>Armação do sistema de paredes com uso de tela Q-196 (3,11 kg/m2)</t>
  </si>
  <si>
    <t>Meses</t>
  </si>
  <si>
    <t>Base para caixa de passagem</t>
  </si>
  <si>
    <t>Direção</t>
  </si>
  <si>
    <t>Massa nominal
(kg/m2)</t>
  </si>
  <si>
    <t>Radier - Positiva</t>
  </si>
  <si>
    <t>Radier - Negativa</t>
  </si>
  <si>
    <t xml:space="preserve">Tampa para caixa de passagem </t>
  </si>
  <si>
    <t>Massa nominal
(kg/m)</t>
  </si>
  <si>
    <t>Tampa de concreto - Positiva</t>
  </si>
  <si>
    <t>Tampa de concreto - Negativa</t>
  </si>
  <si>
    <t>Espessura</t>
  </si>
  <si>
    <t>Paredes internas</t>
  </si>
  <si>
    <t>Referência coeficiente</t>
  </si>
  <si>
    <t>Referência custo unitário</t>
  </si>
  <si>
    <t>Custo unitário (R$)</t>
  </si>
  <si>
    <t>Custo total (R$)</t>
  </si>
  <si>
    <t>Lastro com material granular (pedra britada n.1), aplicado em pisos ou radiers, espessura de *10 cm*</t>
  </si>
  <si>
    <t>Escavação manual de viga de borda para radier</t>
  </si>
  <si>
    <t>Compactação mecânica de solo para execução de radier, com compactador de solos a percussão</t>
  </si>
  <si>
    <t>Fabricação, montagem e desmontagem de forma para radier, em madeira serrada, 4 utilizações</t>
  </si>
  <si>
    <t>Camada separadora para execução de radier, em lona plástica</t>
  </si>
  <si>
    <t>Armação para execução de radier, com uso de tela Q-196 (3,11 kg/m2)</t>
  </si>
  <si>
    <r>
      <t xml:space="preserve">Concretagem de radier, piso ou laje sobre solo, Fck </t>
    </r>
    <r>
      <rPr>
        <sz val="10"/>
        <rFont val="Calibri"/>
        <family val="2"/>
      </rPr>
      <t>≥</t>
    </r>
    <r>
      <rPr>
        <sz val="10"/>
        <rFont val="Arial"/>
        <family val="2"/>
      </rPr>
      <t xml:space="preserve"> 30 MPa, para espessura de 15 cm - Lançamento, adensamento e acabamento</t>
    </r>
  </si>
  <si>
    <t>ED-49621</t>
  </si>
  <si>
    <t>1° Trecho - Conforme levantamento topofrafico</t>
  </si>
  <si>
    <t>2° Trecho  - Conforme levantamento topofrafico</t>
  </si>
  <si>
    <t>1º Trecho</t>
  </si>
  <si>
    <t>Travamento - Rua Artur Vidigal com Hermínio Muzzi</t>
  </si>
  <si>
    <t>Travamento - Rua Artur Vidigal com Custódio Costa Lage</t>
  </si>
  <si>
    <t>Travamento - Rua Artur Vidigal com Agnelo Lage</t>
  </si>
  <si>
    <t>Travamento - Rua Artur Vidigal com Vicente Augusto</t>
  </si>
  <si>
    <t>Travamento - Rua Artur Vidigal final do 1º trecho</t>
  </si>
  <si>
    <t>Travamento - Rua Artur Vidigal início do 2º trecho</t>
  </si>
  <si>
    <t>Travamento - Rua Artur Vidigal termino do 2º trecho</t>
  </si>
  <si>
    <t>Desmobilização</t>
  </si>
  <si>
    <t>Placa de identificação de obra</t>
  </si>
  <si>
    <t>01 (um) engenheiro durante o perído de execução da obra</t>
  </si>
  <si>
    <t>01 (um) encarregado durante o perído de execução da obra</t>
  </si>
  <si>
    <t>01 (um) topografo durante o perído de execução da obra</t>
  </si>
  <si>
    <t>01 (um) auxiliar de topografo durante o perído de execução da obra</t>
  </si>
  <si>
    <t>Placa de sinalização de advertência de obras em ambos os lados da Rua Artur Vidigal</t>
  </si>
  <si>
    <t xml:space="preserve">1º Trecho: Rede principal Ø600mm - PV existente &gt; PV1 </t>
  </si>
  <si>
    <t>1º Trecho: Rede principal Ø600mm - PV1 &gt; PV2</t>
  </si>
  <si>
    <t>1º Trecho: Rede principal Ø600mm - PV2 &gt; PV3</t>
  </si>
  <si>
    <t>1º Trecho: Rede principal Ø600mm - PV3 &gt; CP1</t>
  </si>
  <si>
    <t>Área =
πxr²</t>
  </si>
  <si>
    <t>Total a ser deduzido</t>
  </si>
  <si>
    <t>5.8</t>
  </si>
  <si>
    <t>Base para poço de visita retangular para drenagem, em alvenaria com blocos de concreto, dimensões internas = 1x1 m, profundidade = 1,50 m, excluindo tampão. af_12/2020</t>
  </si>
  <si>
    <t>Corte e dobra de aço CA-50, diâmetro de 10,0 mm (0,617kg/m), utilizado em estrutura diversas (Armadura positiva e negativa em duas direções para tampa de concreto)</t>
  </si>
  <si>
    <t>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t>
  </si>
  <si>
    <t>1º Trecho: CP 1</t>
  </si>
  <si>
    <t>1º Trecho: PV 1</t>
  </si>
  <si>
    <t>1º Trecho: PV 2</t>
  </si>
  <si>
    <t>1º Trecho: PV 3</t>
  </si>
  <si>
    <t>ED-51130</t>
  </si>
  <si>
    <t>Transporte de material de qualquer natureza em caminhão basculante, DMT &gt; 5km, dentro do perímetro urbano</t>
  </si>
  <si>
    <t>Contrução de rodovias e ferrovias</t>
  </si>
  <si>
    <t>6.9</t>
  </si>
  <si>
    <t>Aterro compactado com rolo vibratório a 95% do P.N.</t>
  </si>
  <si>
    <t>Transporte de material para aterro</t>
  </si>
  <si>
    <t>6.10</t>
  </si>
  <si>
    <t>6.11</t>
  </si>
  <si>
    <t>ED-51098</t>
  </si>
  <si>
    <t>ED-51144</t>
  </si>
  <si>
    <t>Passeios de concreto E= 8cm, FCK = 15 Mpa Padrão prefeitura</t>
  </si>
  <si>
    <t>6.12</t>
  </si>
  <si>
    <t>Transporte de material demolido em caçamba</t>
  </si>
  <si>
    <t>6.13</t>
  </si>
  <si>
    <t>Demolição depasseio existente</t>
  </si>
  <si>
    <t>ED-51125</t>
  </si>
  <si>
    <t>6.14</t>
  </si>
  <si>
    <t>ED-50699</t>
  </si>
  <si>
    <t>Corte de árvore nativa com moto-serra DN &gt;= 030m - Até 1.000 unidades</t>
  </si>
  <si>
    <t>Placa de sinalização de advertência de obras em ambos os lados da Rua Nossa Senhora do Rosário</t>
  </si>
  <si>
    <t xml:space="preserve">RUA ARTUR VIDIGAL </t>
  </si>
  <si>
    <t>RUA NOSSA SENHORA DO ROSÁRIO</t>
  </si>
  <si>
    <t>1º trecho - Conforme levantamento topográfico</t>
  </si>
  <si>
    <t>2º trecho - Conforme levantamento topográfico</t>
  </si>
  <si>
    <t>Rede principal Ø600mm - PV1 &gt; PV2</t>
  </si>
  <si>
    <t>Rede principal Ø600mm - PV2 &gt; PV3</t>
  </si>
  <si>
    <t>Rede principal Ø600mm - PV3 &gt; CP1</t>
  </si>
  <si>
    <t>Rede principal Ø600mm - CP1 &gt; PV4</t>
  </si>
  <si>
    <t>Rede principal Ø600mm - PV4 &gt; PV5</t>
  </si>
  <si>
    <t>Rede principal Ø600mm - PV5 &gt; PV6</t>
  </si>
  <si>
    <t>Rede principal Ø400mm - PV6 &gt; PV7</t>
  </si>
  <si>
    <t>Rede principal Ø400mm - PV7 &gt; PV8</t>
  </si>
  <si>
    <t>Ramal Ø400mm BL01&gt;PV2</t>
  </si>
  <si>
    <t>Ramal Ø400mm BL02&gt;PV2</t>
  </si>
  <si>
    <t>Ramal Ø400mm BL03&gt;PV3</t>
  </si>
  <si>
    <t>Ramal Ø400mm BL04&gt;PV3</t>
  </si>
  <si>
    <t>Ramal Ø400mm BL05&gt;PV4</t>
  </si>
  <si>
    <t>Ramal Ø400mm BL06&gt;PV4</t>
  </si>
  <si>
    <t>Ramal Ø400mm BL07&gt;PV5</t>
  </si>
  <si>
    <t>Ramal Ø400mm BL08&gt;PV5</t>
  </si>
  <si>
    <t>Ramal Ø400mm BL09&gt;PV7</t>
  </si>
  <si>
    <t>Ramal Ø400mm BL10&gt;PV7</t>
  </si>
  <si>
    <t>Ramal Ø400mm BL11&gt;PV8</t>
  </si>
  <si>
    <t>Ramal Ø400mm BL12&gt;PV8</t>
  </si>
  <si>
    <t>1º Trecho: PV 4</t>
  </si>
  <si>
    <t>1º Trecho: PV 5</t>
  </si>
  <si>
    <t>1º Trecho: PV 7</t>
  </si>
  <si>
    <t>1º Trecho: PV 8</t>
  </si>
  <si>
    <t>Caixa de passagem 1</t>
  </si>
  <si>
    <t>Boca de lobo</t>
  </si>
  <si>
    <t>Rua Nossa Senhora do Rosário - Corte de árvore</t>
  </si>
  <si>
    <t>1° Trecho - Conforme levantamento topográfico</t>
  </si>
  <si>
    <t>2° Trecho - Conforme levantamento topográfico</t>
  </si>
  <si>
    <t xml:space="preserve"> Conforme levantamento topográfico</t>
  </si>
  <si>
    <t xml:space="preserve">Recomposição de base - Conforme levantamento topográfico </t>
  </si>
  <si>
    <t xml:space="preserve">Aterro muro </t>
  </si>
  <si>
    <t>ED-48489</t>
  </si>
  <si>
    <t xml:space="preserve">Demolição de passeio ou laje de concreto com equipamento, inclusive afastamento </t>
  </si>
  <si>
    <t>Demolição de passeio</t>
  </si>
  <si>
    <t>Recomposição de meio fio danificados</t>
  </si>
  <si>
    <t xml:space="preserve">Travamento de rua com meio fio </t>
  </si>
  <si>
    <t>Remoção de blocos sextavados (bloquetes)</t>
  </si>
  <si>
    <t>RO-42387</t>
  </si>
  <si>
    <t xml:space="preserve">Rua Nossa Senhora do Rosário </t>
  </si>
  <si>
    <t xml:space="preserve">Carga de bloquetes para transporte até o estoque da Secretaria de Obras </t>
  </si>
  <si>
    <t xml:space="preserve"> Conforme levantamento topofrafico</t>
  </si>
  <si>
    <t>Conforme levantamento topofrafico</t>
  </si>
  <si>
    <t>Mobilização e desmobilização de obra em centro urbano ou região limítrofe com valor entre 1.000.000,01 a 3.000.000,00</t>
  </si>
  <si>
    <t>ED-50393</t>
  </si>
  <si>
    <t>Lado Direito - Conforme levantamento topográfico</t>
  </si>
  <si>
    <t>Lado Esquerdo - Conforme levantamento topográfico</t>
  </si>
  <si>
    <t xml:space="preserve">Aterro muro 1 </t>
  </si>
  <si>
    <t>Aterro muro 2</t>
  </si>
  <si>
    <t>Mureta de bloco de concreto, esp. 15cm, h= 105cm, a revestir</t>
  </si>
  <si>
    <t>004.1</t>
  </si>
  <si>
    <t>ED-48194</t>
  </si>
  <si>
    <t>Alvenaria de vedação com bloco de concreto esp. 9cm, para revestimento, inclusive argamassa para assentamento</t>
  </si>
  <si>
    <t>004.2</t>
  </si>
  <si>
    <t>ED-50727</t>
  </si>
  <si>
    <t xml:space="preserve">Chapisco com argamassa, traço 1:3 (cimento e areia), esp. 5mm aplicado em alvenaria/estrutura de concreto com colher, preparo mecânico </t>
  </si>
  <si>
    <t>004.3</t>
  </si>
  <si>
    <t>ED-48298</t>
  </si>
  <si>
    <t>Corte, dobra e montagem de aço CA-50/60</t>
  </si>
  <si>
    <t>004.4</t>
  </si>
  <si>
    <t>ED-51107</t>
  </si>
  <si>
    <t>Escavação manual de vala com profundidade menor ou igual a 1,5m</t>
  </si>
  <si>
    <t>004.5</t>
  </si>
  <si>
    <t>ED-49810</t>
  </si>
  <si>
    <t>Forma e desforma de tábua e sarrafo, reaproveitamento (3x) (fundação)</t>
  </si>
  <si>
    <t>004.6</t>
  </si>
  <si>
    <t>ED-49618</t>
  </si>
  <si>
    <t>Fornecimento de concreto estrutural, preparado em obra, com Fck 20 MPa, inclusive lançamento, adensamento e acabamento</t>
  </si>
  <si>
    <t>004.7</t>
  </si>
  <si>
    <t>ED-49784</t>
  </si>
  <si>
    <t>Fornecimento de concreto não estrutural, preparado em obra com betoneira, com Fck 15 MPa, inclusive lançamento, adensamento e acabamento (fundação)</t>
  </si>
  <si>
    <t>004.8</t>
  </si>
  <si>
    <t>ED-50381</t>
  </si>
  <si>
    <t>Pedreiro com encargos complementares</t>
  </si>
  <si>
    <t>004.9</t>
  </si>
  <si>
    <t>ED-50760</t>
  </si>
  <si>
    <t>Rebobo com argamassa, traço 1:2:9 (cimento, cal e areia), com aditivo impermeabilizante, esp. 20mm, aplicação manual, preparo mecânico</t>
  </si>
  <si>
    <t>004.10</t>
  </si>
  <si>
    <t>ED-50367</t>
  </si>
  <si>
    <t>Servente com encargos complementares</t>
  </si>
  <si>
    <t>Rua Nossa Senhora do Rosário</t>
  </si>
  <si>
    <t>ED-48214</t>
  </si>
  <si>
    <t>Rua Nossa Senhora do Rosário - Muro</t>
  </si>
  <si>
    <t>Rua Nossa Senhora do Rosário - Muro 1</t>
  </si>
  <si>
    <t>Rua Nossa Senhora do Rosário - Muro 2</t>
  </si>
  <si>
    <t>Alvenaria em bloco de concreto cheio, com armação, em concreto com fck 15 MPa, esp. 19cm, para revestimento, inclusive argamassa para assentamento</t>
  </si>
  <si>
    <t>Cinta armada em concreto 20 MPa, inclusive lastro 5 cm em concreto magro 9 MPa, formas laterais e desforma</t>
  </si>
  <si>
    <t>7.1</t>
  </si>
  <si>
    <t>7.2</t>
  </si>
  <si>
    <t>7.3</t>
  </si>
  <si>
    <t>7.4</t>
  </si>
  <si>
    <t>7.5</t>
  </si>
  <si>
    <t>ED-50860</t>
  </si>
  <si>
    <t>Fornecimento de concreto estrutural, usinado bombeado, com Fck 20 MPa, inclusive lançamento, adensamento e acabamento (fundação)</t>
  </si>
  <si>
    <t>ED-49804</t>
  </si>
  <si>
    <t>005.1</t>
  </si>
  <si>
    <t>005.2</t>
  </si>
  <si>
    <t>Fornecimento de concreto estrutural, usinado bombeado, com Fck 20 MPa, inclusive corte, dobra e montagem de aço CA-50/60, lançamento, adensamento e acabamento (fundação)</t>
  </si>
  <si>
    <t>Escavação manual para bloco de coroamento ou sapata</t>
  </si>
  <si>
    <t>Pilar com concreto aparente 20 MPa, inclusive armação, forma plastificada e desforma</t>
  </si>
  <si>
    <t>ED-50842</t>
  </si>
  <si>
    <t>7.6</t>
  </si>
  <si>
    <t>7.7</t>
  </si>
  <si>
    <t>7.8</t>
  </si>
  <si>
    <t>Apiloamento de fundo de vala com soquete</t>
  </si>
  <si>
    <t>ED-51093</t>
  </si>
  <si>
    <t>7.9</t>
  </si>
  <si>
    <t>Dreno de PVC ø = 75mm, comprimento unitário = 15 cm (execução, incluindo o fornecimento e transporte de todos os materiais)</t>
  </si>
  <si>
    <t>RO-41586</t>
  </si>
  <si>
    <t xml:space="preserve">Rua Nossa Senhora do Rosário - Dreno para a mureta </t>
  </si>
  <si>
    <t>Cerca com mourões de madeira roliça, DN 11cm, espaçamento de 2,5m, altura livre de 1,70m cravados, 0,50m, com 5 fios de arame de aço ovalado 15x17, fornecimento e instalação</t>
  </si>
  <si>
    <t>Rua Nossa Senhora do Rosário - Portão para entrada da ETA</t>
  </si>
  <si>
    <t>Portão em tubo galvanizados 2 1/2" com tela fio 12 # 1/2"</t>
  </si>
  <si>
    <t>7.10</t>
  </si>
  <si>
    <t>ED-50986</t>
  </si>
  <si>
    <t>MURO DE CONTENÇÃO</t>
  </si>
  <si>
    <t>LOE 01 - Pavimentação de via em piso de concreto pré-moldado intertravado, tipo Sextavado - Rua Nossa Senhora do Rosário e Rua Artur Vidigal, bairro Santa Maria - Nova Era/MG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</si>
</sst>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4" formatCode="_-&quot;R$&quot;\ * #,##0.00_-;\-&quot;R$&quot;\ * #,##0.00_-;_-&quot;R$&quot;\ * &quot;-&quot;??_-;_-@_-"/>
    <numFmt numFmtId="43" formatCode="_-* #,##0.00_-;\-* #,##0.00_-;_-* &quot;-&quot;??_-;_-@_-"/>
    <numFmt numFmtId="164" formatCode="&quot;R$&quot;\ #,##0.00"/>
    <numFmt numFmtId="165" formatCode="0.00\ &quot;%&quot;"/>
    <numFmt numFmtId="166" formatCode="_(* #,##0.00_);_(* \(#,##0.00\);_(* &quot;-&quot;??_);_(@_)"/>
    <numFmt numFmtId="167" formatCode="00"/>
    <numFmt numFmtId="168" formatCode="000"/>
    <numFmt numFmtId="169" formatCode="#,##0.0000000"/>
    <numFmt numFmtId="170" formatCode="#,##0.00;#,##0.00;&quot;-&quot;_-;_-@_-"/>
    <numFmt numFmtId="171" formatCode="_(* #,##0_);_(* \(#,##0\);_(* &quot;-&quot;??_);_(@_)"/>
    <numFmt numFmtId="172" formatCode="#,##0.000"/>
    <numFmt numFmtId="173" formatCode="0.0000"/>
    <numFmt numFmtId="174" formatCode="0.000"/>
    <numFmt numFmtId="175" formatCode="#,##0.00000"/>
  </numFmts>
  <fonts count="21" x14ac:knownFonts="1">
    <font>
      <sz val="11"/>
      <color theme="1"/>
      <name val="Calibri"/>
      <family val="2"/>
      <scheme val="minor"/>
    </font>
    <font>
      <sz val="11"/>
      <color theme="1"/>
      <name val="Calibri"/>
      <family val="2"/>
      <scheme val="minor"/>
    </font>
    <font>
      <b/>
      <sz val="14"/>
      <name val="Arial"/>
      <family val="2"/>
    </font>
    <font>
      <b/>
      <sz val="11"/>
      <name val="Arial"/>
      <family val="2"/>
    </font>
    <font>
      <sz val="10"/>
      <name val="Arial"/>
      <family val="2"/>
    </font>
    <font>
      <b/>
      <sz val="10"/>
      <name val="Arial"/>
      <family val="2"/>
    </font>
    <font>
      <sz val="11"/>
      <name val="Arial"/>
      <family val="2"/>
    </font>
    <font>
      <sz val="8"/>
      <name val="Arial"/>
      <family val="2"/>
    </font>
    <font>
      <sz val="10"/>
      <name val="Calibri"/>
      <family val="2"/>
    </font>
    <font>
      <sz val="10.5"/>
      <name val="Arial"/>
      <family val="2"/>
    </font>
    <font>
      <b/>
      <sz val="10.5"/>
      <name val="Arial"/>
      <family val="2"/>
    </font>
    <font>
      <sz val="10"/>
      <color indexed="8"/>
      <name val="Arial"/>
      <family val="2"/>
    </font>
    <font>
      <b/>
      <sz val="11"/>
      <color theme="1"/>
      <name val="Calibri"/>
      <family val="2"/>
      <scheme val="minor"/>
    </font>
    <font>
      <sz val="9"/>
      <name val="Arial"/>
      <family val="2"/>
    </font>
    <font>
      <b/>
      <sz val="10"/>
      <color indexed="8"/>
      <name val="Arial"/>
      <family val="2"/>
    </font>
    <font>
      <sz val="10"/>
      <name val="Arial"/>
      <family val="2"/>
    </font>
    <font>
      <sz val="8"/>
      <name val="Calibri"/>
      <family val="2"/>
      <scheme val="minor"/>
    </font>
    <font>
      <sz val="11"/>
      <color rgb="FFFF0000"/>
      <name val="Arial"/>
      <family val="2"/>
    </font>
    <font>
      <sz val="10"/>
      <color theme="1"/>
      <name val="Arial"/>
      <family val="2"/>
    </font>
    <font>
      <sz val="10"/>
      <color rgb="FF0070C0"/>
      <name val="Arial"/>
      <family val="2"/>
    </font>
    <font>
      <b/>
      <sz val="1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indexed="9"/>
        <bgColor indexed="64"/>
      </patternFill>
    </fill>
    <fill>
      <patternFill patternType="solid">
        <fgColor theme="6" tint="0.79998168889431442"/>
        <bgColor indexed="64"/>
      </patternFill>
    </fill>
    <fill>
      <patternFill patternType="solid">
        <fgColor indexed="43"/>
        <bgColor indexed="26"/>
      </patternFill>
    </fill>
    <fill>
      <patternFill patternType="solid">
        <fgColor theme="3" tint="0.79998168889431442"/>
        <bgColor indexed="64"/>
      </patternFill>
    </fill>
    <fill>
      <patternFill patternType="solid">
        <fgColor indexed="22"/>
        <bgColor indexed="44"/>
      </patternFill>
    </fill>
    <fill>
      <patternFill patternType="solid">
        <fgColor theme="0"/>
        <bgColor indexed="44"/>
      </patternFill>
    </fill>
    <fill>
      <patternFill patternType="solid">
        <fgColor theme="0" tint="-0.24997711111789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diagonalDown="1">
      <left/>
      <right style="thin">
        <color indexed="64"/>
      </right>
      <top/>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0">
    <xf numFmtId="0" fontId="0" fillId="0" borderId="0"/>
    <xf numFmtId="43" fontId="1" fillId="0" borderId="0" applyFont="0" applyFill="0" applyBorder="0" applyAlignment="0" applyProtection="0"/>
    <xf numFmtId="0" fontId="4" fillId="0" borderId="0"/>
    <xf numFmtId="166" fontId="4" fillId="0" borderId="0" applyFont="0" applyFill="0" applyBorder="0" applyAlignment="0" applyProtection="0"/>
    <xf numFmtId="9"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5" fillId="0" borderId="0"/>
    <xf numFmtId="44" fontId="1" fillId="0" borderId="0" applyFont="0" applyFill="0" applyBorder="0" applyAlignment="0" applyProtection="0"/>
    <xf numFmtId="43" fontId="4" fillId="0" borderId="0" applyFont="0" applyFill="0" applyBorder="0" applyAlignment="0" applyProtection="0"/>
  </cellStyleXfs>
  <cellXfs count="287">
    <xf numFmtId="0" fontId="0" fillId="0" borderId="0" xfId="0"/>
    <xf numFmtId="0" fontId="6" fillId="4" borderId="0" xfId="0" applyFont="1" applyFill="1"/>
    <xf numFmtId="2" fontId="5" fillId="3" borderId="1" xfId="0" applyNumberFormat="1" applyFont="1" applyFill="1" applyBorder="1" applyAlignment="1">
      <alignment horizontal="center" vertical="center"/>
    </xf>
    <xf numFmtId="164" fontId="5" fillId="3" borderId="1" xfId="0" applyNumberFormat="1" applyFont="1" applyFill="1" applyBorder="1" applyAlignment="1">
      <alignment horizontal="center" vertical="center" wrapText="1"/>
    </xf>
    <xf numFmtId="164" fontId="6" fillId="4" borderId="0" xfId="0" applyNumberFormat="1" applyFont="1" applyFill="1"/>
    <xf numFmtId="4" fontId="4" fillId="3" borderId="1" xfId="0" applyNumberFormat="1" applyFont="1" applyFill="1" applyBorder="1" applyAlignment="1">
      <alignment horizontal="center" vertical="center"/>
    </xf>
    <xf numFmtId="164" fontId="5" fillId="3" borderId="1" xfId="0" applyNumberFormat="1" applyFont="1" applyFill="1" applyBorder="1" applyAlignment="1">
      <alignment horizontal="center" vertical="center"/>
    </xf>
    <xf numFmtId="167" fontId="6" fillId="4" borderId="0" xfId="0" applyNumberFormat="1" applyFont="1" applyFill="1" applyAlignment="1">
      <alignment horizontal="center" vertical="center"/>
    </xf>
    <xf numFmtId="166" fontId="4" fillId="3" borderId="1" xfId="3" applyFont="1" applyFill="1" applyBorder="1" applyAlignment="1">
      <alignment horizontal="center" vertical="center" wrapText="1"/>
    </xf>
    <xf numFmtId="0" fontId="6" fillId="4" borderId="0" xfId="0" applyFont="1" applyFill="1" applyAlignment="1">
      <alignment wrapText="1"/>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0" fillId="4" borderId="0" xfId="0" applyFill="1"/>
    <xf numFmtId="0" fontId="0" fillId="4" borderId="0" xfId="0" applyFill="1" applyAlignment="1">
      <alignment horizontal="center"/>
    </xf>
    <xf numFmtId="169"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xf>
    <xf numFmtId="0" fontId="0" fillId="4" borderId="0" xfId="0" applyFill="1" applyAlignment="1">
      <alignment wrapText="1"/>
    </xf>
    <xf numFmtId="0" fontId="0" fillId="4" borderId="0" xfId="0" applyFill="1" applyAlignment="1">
      <alignment horizontal="center" vertical="center"/>
    </xf>
    <xf numFmtId="49" fontId="11" fillId="6" borderId="1" xfId="2" applyNumberFormat="1" applyFont="1" applyFill="1" applyBorder="1" applyAlignment="1">
      <alignment horizontal="center" vertical="center" wrapText="1"/>
    </xf>
    <xf numFmtId="10" fontId="13" fillId="3" borderId="13" xfId="2" applyNumberFormat="1" applyFont="1" applyFill="1" applyBorder="1" applyAlignment="1">
      <alignment vertical="center" wrapText="1"/>
    </xf>
    <xf numFmtId="4" fontId="12" fillId="4" borderId="0" xfId="0" applyNumberFormat="1" applyFont="1" applyFill="1" applyAlignment="1">
      <alignment horizontal="center" vertical="center"/>
    </xf>
    <xf numFmtId="49" fontId="14" fillId="2" borderId="1" xfId="2" applyNumberFormat="1" applyFont="1" applyFill="1" applyBorder="1" applyAlignment="1">
      <alignment horizontal="center" vertical="center" wrapText="1"/>
    </xf>
    <xf numFmtId="10" fontId="5" fillId="2" borderId="1" xfId="0" applyNumberFormat="1" applyFont="1" applyFill="1" applyBorder="1" applyAlignment="1">
      <alignment horizontal="center" vertical="center"/>
    </xf>
    <xf numFmtId="49" fontId="11" fillId="7" borderId="1" xfId="2" applyNumberFormat="1" applyFont="1" applyFill="1" applyBorder="1" applyAlignment="1">
      <alignment horizontal="center" vertical="center" wrapText="1"/>
    </xf>
    <xf numFmtId="10" fontId="4" fillId="7" borderId="1" xfId="0" applyNumberFormat="1" applyFont="1" applyFill="1" applyBorder="1" applyAlignment="1">
      <alignment horizontal="center" vertical="center"/>
    </xf>
    <xf numFmtId="0" fontId="4" fillId="3" borderId="1" xfId="3" applyNumberFormat="1" applyFont="1" applyFill="1" applyBorder="1" applyAlignment="1">
      <alignment horizontal="justify" vertical="center" wrapText="1"/>
    </xf>
    <xf numFmtId="44" fontId="4" fillId="3" borderId="1" xfId="8" applyFont="1" applyFill="1" applyBorder="1" applyAlignment="1">
      <alignment horizontal="left" vertical="center" wrapText="1"/>
    </xf>
    <xf numFmtId="44" fontId="0" fillId="4" borderId="0" xfId="0" applyNumberFormat="1" applyFill="1"/>
    <xf numFmtId="0" fontId="17" fillId="4" borderId="0" xfId="0" applyFont="1" applyFill="1"/>
    <xf numFmtId="49" fontId="7" fillId="3" borderId="1" xfId="3" applyNumberFormat="1" applyFont="1" applyFill="1" applyBorder="1" applyAlignment="1">
      <alignment horizontal="center" vertical="center" wrapText="1"/>
    </xf>
    <xf numFmtId="0" fontId="5" fillId="2" borderId="1" xfId="3" applyNumberFormat="1" applyFont="1" applyFill="1" applyBorder="1" applyAlignment="1">
      <alignment horizontal="center" vertical="center"/>
    </xf>
    <xf numFmtId="171" fontId="5" fillId="2" borderId="1" xfId="3" applyNumberFormat="1" applyFont="1" applyFill="1" applyBorder="1" applyAlignment="1">
      <alignment horizontal="center" vertical="center" wrapText="1"/>
    </xf>
    <xf numFmtId="0" fontId="4" fillId="3" borderId="1" xfId="3"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0" fontId="7" fillId="3" borderId="1" xfId="9" applyNumberFormat="1" applyFont="1" applyFill="1" applyBorder="1" applyAlignment="1">
      <alignment horizontal="center" vertical="center" wrapText="1"/>
    </xf>
    <xf numFmtId="10" fontId="6" fillId="8" borderId="1" xfId="2" applyNumberFormat="1" applyFont="1" applyFill="1" applyBorder="1" applyAlignment="1" applyProtection="1">
      <alignment horizontal="center" vertical="center"/>
      <protection locked="0"/>
    </xf>
    <xf numFmtId="0" fontId="6" fillId="4" borderId="0" xfId="0" applyFont="1" applyFill="1" applyAlignment="1">
      <alignment horizontal="center" vertical="center" wrapText="1"/>
    </xf>
    <xf numFmtId="0" fontId="7" fillId="3" borderId="1" xfId="3" applyNumberFormat="1" applyFont="1" applyFill="1" applyBorder="1" applyAlignment="1">
      <alignment horizontal="center" vertical="center" wrapText="1"/>
    </xf>
    <xf numFmtId="2" fontId="4" fillId="3" borderId="1" xfId="0" applyNumberFormat="1" applyFont="1" applyFill="1" applyBorder="1" applyAlignment="1">
      <alignment horizontal="center" vertical="center"/>
    </xf>
    <xf numFmtId="4" fontId="5" fillId="5" borderId="1" xfId="0" applyNumberFormat="1" applyFont="1" applyFill="1" applyBorder="1" applyAlignment="1">
      <alignment horizontal="center" vertical="center"/>
    </xf>
    <xf numFmtId="10" fontId="12" fillId="4" borderId="0" xfId="4" applyNumberFormat="1" applyFont="1" applyFill="1" applyAlignment="1">
      <alignment horizontal="center" vertical="center"/>
    </xf>
    <xf numFmtId="44" fontId="6" fillId="4" borderId="0" xfId="0" applyNumberFormat="1" applyFont="1" applyFill="1"/>
    <xf numFmtId="2" fontId="6" fillId="4" borderId="0" xfId="0" applyNumberFormat="1" applyFont="1" applyFill="1" applyAlignment="1">
      <alignment horizontal="center" vertical="center"/>
    </xf>
    <xf numFmtId="2" fontId="6" fillId="4" borderId="0" xfId="0" applyNumberFormat="1" applyFont="1" applyFill="1"/>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12" borderId="1" xfId="0" applyFont="1" applyFill="1" applyBorder="1" applyAlignment="1">
      <alignment horizontal="center" vertical="center"/>
    </xf>
    <xf numFmtId="44" fontId="5" fillId="5" borderId="1" xfId="8" applyFont="1" applyFill="1" applyBorder="1" applyAlignment="1">
      <alignment horizontal="center" vertical="center"/>
    </xf>
    <xf numFmtId="44" fontId="5" fillId="2" borderId="1" xfId="8" applyFont="1" applyFill="1" applyBorder="1" applyAlignment="1">
      <alignment horizontal="center" vertical="center"/>
    </xf>
    <xf numFmtId="2" fontId="5" fillId="2" borderId="1" xfId="0" applyNumberFormat="1" applyFont="1" applyFill="1" applyBorder="1" applyAlignment="1">
      <alignment horizontal="center" vertical="center" wrapText="1"/>
    </xf>
    <xf numFmtId="172" fontId="4" fillId="3" borderId="1" xfId="0" applyNumberFormat="1" applyFont="1" applyFill="1" applyBorder="1" applyAlignment="1">
      <alignment horizontal="center" vertical="center"/>
    </xf>
    <xf numFmtId="168" fontId="5" fillId="2" borderId="1" xfId="0" applyNumberFormat="1" applyFont="1" applyFill="1" applyBorder="1" applyAlignment="1">
      <alignment horizontal="center" vertical="center"/>
    </xf>
    <xf numFmtId="4" fontId="0" fillId="4" borderId="0" xfId="0" applyNumberFormat="1" applyFill="1"/>
    <xf numFmtId="4" fontId="5" fillId="2" borderId="1" xfId="0" applyNumberFormat="1" applyFont="1" applyFill="1" applyBorder="1" applyAlignment="1">
      <alignment horizontal="center" vertical="center"/>
    </xf>
    <xf numFmtId="4" fontId="12" fillId="4" borderId="3" xfId="0" applyNumberFormat="1" applyFont="1" applyFill="1" applyBorder="1" applyAlignment="1">
      <alignment horizontal="center" vertical="center"/>
    </xf>
    <xf numFmtId="4" fontId="12" fillId="4" borderId="12" xfId="0" applyNumberFormat="1" applyFont="1" applyFill="1" applyBorder="1" applyAlignment="1">
      <alignment horizontal="center" vertical="center"/>
    </xf>
    <xf numFmtId="0" fontId="0" fillId="4" borderId="3" xfId="0" applyFill="1" applyBorder="1"/>
    <xf numFmtId="10" fontId="12" fillId="4" borderId="12" xfId="4" applyNumberFormat="1" applyFont="1" applyFill="1" applyBorder="1" applyAlignment="1">
      <alignment horizontal="center" vertical="center"/>
    </xf>
    <xf numFmtId="4" fontId="12" fillId="4" borderId="6" xfId="0" applyNumberFormat="1" applyFont="1" applyFill="1" applyBorder="1" applyAlignment="1">
      <alignment horizontal="center" vertical="center"/>
    </xf>
    <xf numFmtId="4" fontId="12" fillId="4" borderId="7" xfId="0" applyNumberFormat="1" applyFont="1" applyFill="1" applyBorder="1" applyAlignment="1">
      <alignment horizontal="center" vertical="center"/>
    </xf>
    <xf numFmtId="4" fontId="12" fillId="4" borderId="8" xfId="0" applyNumberFormat="1" applyFont="1" applyFill="1" applyBorder="1" applyAlignment="1">
      <alignment horizontal="center" vertical="center"/>
    </xf>
    <xf numFmtId="10" fontId="13" fillId="2" borderId="13" xfId="2" applyNumberFormat="1" applyFont="1" applyFill="1" applyBorder="1" applyAlignment="1">
      <alignment vertical="center" wrapText="1"/>
    </xf>
    <xf numFmtId="170" fontId="5" fillId="2" borderId="1" xfId="0" applyNumberFormat="1" applyFont="1" applyFill="1" applyBorder="1" applyAlignment="1">
      <alignment horizontal="center" vertical="center"/>
    </xf>
    <xf numFmtId="10" fontId="13" fillId="2" borderId="14" xfId="2" applyNumberFormat="1" applyFont="1" applyFill="1" applyBorder="1" applyAlignment="1">
      <alignment vertical="center" wrapText="1"/>
    </xf>
    <xf numFmtId="166" fontId="7" fillId="3" borderId="1" xfId="3" applyFont="1" applyFill="1" applyBorder="1" applyAlignment="1">
      <alignment horizontal="center" vertical="center" wrapText="1"/>
    </xf>
    <xf numFmtId="173" fontId="6" fillId="4" borderId="0" xfId="0" applyNumberFormat="1" applyFont="1" applyFill="1"/>
    <xf numFmtId="173" fontId="6" fillId="4" borderId="0" xfId="0" applyNumberFormat="1" applyFont="1" applyFill="1" applyAlignment="1">
      <alignment horizontal="center" vertical="center"/>
    </xf>
    <xf numFmtId="0" fontId="5" fillId="0" borderId="15" xfId="0" applyFont="1" applyFill="1" applyBorder="1" applyAlignment="1">
      <alignment horizontal="center" vertical="center" wrapText="1"/>
    </xf>
    <xf numFmtId="14" fontId="5" fillId="0" borderId="15" xfId="0" applyNumberFormat="1" applyFont="1" applyFill="1" applyBorder="1" applyAlignment="1">
      <alignment horizontal="center" vertical="center" wrapText="1"/>
    </xf>
    <xf numFmtId="0" fontId="5" fillId="3" borderId="0" xfId="0" applyFont="1" applyFill="1" applyBorder="1" applyAlignment="1">
      <alignment horizontal="center" vertical="center" wrapText="1"/>
    </xf>
    <xf numFmtId="4" fontId="3" fillId="0" borderId="1" xfId="2" applyNumberFormat="1" applyFont="1" applyFill="1" applyBorder="1" applyAlignment="1" applyProtection="1">
      <alignment horizontal="center" vertical="center" wrapText="1"/>
    </xf>
    <xf numFmtId="0" fontId="6" fillId="0" borderId="1" xfId="2" applyFont="1" applyBorder="1" applyAlignment="1" applyProtection="1">
      <alignment horizontal="center" vertical="center"/>
    </xf>
    <xf numFmtId="10" fontId="6" fillId="0" borderId="1" xfId="2" applyNumberFormat="1" applyFont="1" applyFill="1" applyBorder="1" applyAlignment="1" applyProtection="1">
      <alignment horizontal="center" vertical="center"/>
    </xf>
    <xf numFmtId="0" fontId="6" fillId="0" borderId="1" xfId="2" applyFont="1" applyFill="1" applyBorder="1" applyAlignment="1" applyProtection="1">
      <alignment horizontal="center" vertical="center" wrapText="1"/>
    </xf>
    <xf numFmtId="10" fontId="6" fillId="4" borderId="0" xfId="0" applyNumberFormat="1" applyFont="1" applyFill="1" applyAlignment="1">
      <alignment horizontal="center" vertical="center" wrapText="1"/>
    </xf>
    <xf numFmtId="10" fontId="3" fillId="10" borderId="1" xfId="2" applyNumberFormat="1" applyFont="1" applyFill="1" applyBorder="1" applyAlignment="1" applyProtection="1">
      <alignment horizontal="center" vertical="center"/>
    </xf>
    <xf numFmtId="0" fontId="4" fillId="4" borderId="0" xfId="0" applyFont="1" applyFill="1" applyAlignment="1">
      <alignment horizontal="center" vertical="center" wrapText="1"/>
    </xf>
    <xf numFmtId="2" fontId="6" fillId="4" borderId="0" xfId="0" applyNumberFormat="1" applyFont="1" applyFill="1" applyAlignment="1">
      <alignment horizontal="center" vertical="center" wrapText="1"/>
    </xf>
    <xf numFmtId="0" fontId="4" fillId="4" borderId="0" xfId="0" applyFont="1" applyFill="1" applyAlignment="1">
      <alignment horizontal="left" vertical="center"/>
    </xf>
    <xf numFmtId="2" fontId="18" fillId="0" borderId="1" xfId="0" applyNumberFormat="1" applyFont="1" applyBorder="1" applyAlignment="1">
      <alignment horizontal="center" vertical="center"/>
    </xf>
    <xf numFmtId="0" fontId="5" fillId="2" borderId="1" xfId="0" applyFont="1" applyFill="1" applyBorder="1" applyAlignment="1">
      <alignment horizontal="center" vertical="center"/>
    </xf>
    <xf numFmtId="0" fontId="4" fillId="3"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7" fillId="3"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2" fontId="4" fillId="3" borderId="1" xfId="0" applyNumberFormat="1" applyFont="1" applyFill="1" applyBorder="1" applyAlignment="1">
      <alignment horizontal="center" vertical="center" wrapText="1"/>
    </xf>
    <xf numFmtId="2" fontId="0" fillId="3" borderId="1" xfId="0" applyNumberFormat="1" applyFill="1" applyBorder="1" applyAlignment="1">
      <alignment horizontal="center" vertical="center" wrapText="1"/>
    </xf>
    <xf numFmtId="2" fontId="5" fillId="3" borderId="1" xfId="0" applyNumberFormat="1" applyFont="1" applyFill="1" applyBorder="1" applyAlignment="1">
      <alignment horizontal="center" vertical="center" wrapText="1"/>
    </xf>
    <xf numFmtId="174" fontId="4" fillId="3" borderId="1"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19" fillId="4" borderId="0" xfId="0" applyFont="1" applyFill="1"/>
    <xf numFmtId="167" fontId="19" fillId="4" borderId="0" xfId="0" applyNumberFormat="1" applyFont="1" applyFill="1" applyAlignment="1">
      <alignment horizontal="center" vertical="center"/>
    </xf>
    <xf numFmtId="0" fontId="5" fillId="2" borderId="16" xfId="0" applyFont="1" applyFill="1" applyBorder="1" applyAlignment="1">
      <alignment horizontal="center" vertical="center" wrapText="1"/>
    </xf>
    <xf numFmtId="0" fontId="4" fillId="3" borderId="1" xfId="0" applyFont="1" applyFill="1" applyBorder="1" applyAlignment="1">
      <alignment vertical="center"/>
    </xf>
    <xf numFmtId="167" fontId="0" fillId="4" borderId="0" xfId="0" applyNumberFormat="1" applyFill="1" applyAlignment="1">
      <alignment horizontal="center" vertical="center"/>
    </xf>
    <xf numFmtId="166" fontId="6" fillId="4" borderId="0" xfId="3" applyFont="1" applyFill="1"/>
    <xf numFmtId="167" fontId="6" fillId="4" borderId="0" xfId="3" applyNumberFormat="1" applyFont="1" applyFill="1" applyAlignment="1">
      <alignment horizontal="center" vertical="center"/>
    </xf>
    <xf numFmtId="2" fontId="18" fillId="0" borderId="1" xfId="0" applyNumberFormat="1" applyFont="1" applyBorder="1" applyAlignment="1">
      <alignment horizontal="center" vertical="center"/>
    </xf>
    <xf numFmtId="0" fontId="5" fillId="3" borderId="1" xfId="0" applyFont="1" applyFill="1" applyBorder="1" applyAlignment="1">
      <alignment horizontal="center" vertical="center" wrapText="1"/>
    </xf>
    <xf numFmtId="0" fontId="4" fillId="3" borderId="1" xfId="0" applyFont="1" applyFill="1" applyBorder="1" applyAlignment="1">
      <alignment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4" fontId="4" fillId="3" borderId="16" xfId="0" applyNumberFormat="1" applyFont="1" applyFill="1" applyBorder="1" applyAlignment="1">
      <alignment horizontal="center" vertical="center"/>
    </xf>
    <xf numFmtId="175" fontId="4" fillId="3" borderId="16" xfId="0" applyNumberFormat="1" applyFont="1" applyFill="1" applyBorder="1" applyAlignment="1">
      <alignment horizontal="center" vertical="center"/>
    </xf>
    <xf numFmtId="175" fontId="4" fillId="3" borderId="1" xfId="0" applyNumberFormat="1" applyFont="1" applyFill="1" applyBorder="1" applyAlignment="1">
      <alignment horizontal="center" vertical="center"/>
    </xf>
    <xf numFmtId="0" fontId="0" fillId="4" borderId="0" xfId="0" applyFill="1" applyAlignment="1">
      <alignment horizontal="center" vertical="center" wrapText="1"/>
    </xf>
    <xf numFmtId="0" fontId="4" fillId="3" borderId="9" xfId="0" applyFont="1" applyFill="1" applyBorder="1" applyAlignment="1">
      <alignment vertical="center" wrapText="1"/>
    </xf>
    <xf numFmtId="44" fontId="4" fillId="3"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3" borderId="3"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4" fillId="3" borderId="3" xfId="2" applyFont="1" applyFill="1" applyBorder="1" applyProtection="1"/>
    <xf numFmtId="0" fontId="4" fillId="3" borderId="0" xfId="2" applyFont="1" applyFill="1" applyBorder="1" applyProtection="1"/>
    <xf numFmtId="0" fontId="4" fillId="3" borderId="12" xfId="2" applyFont="1" applyFill="1" applyBorder="1" applyProtection="1"/>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3" fillId="0" borderId="1" xfId="2" applyFont="1" applyBorder="1" applyAlignment="1" applyProtection="1">
      <alignment horizontal="center" vertical="center"/>
    </xf>
    <xf numFmtId="0" fontId="6" fillId="10" borderId="1" xfId="2" applyFont="1" applyFill="1" applyBorder="1" applyAlignment="1" applyProtection="1">
      <alignment horizontal="center" vertical="center" wrapText="1"/>
    </xf>
    <xf numFmtId="0" fontId="5" fillId="2" borderId="1" xfId="0" applyFont="1" applyFill="1" applyBorder="1" applyAlignment="1">
      <alignment horizontal="center" vertical="center" wrapText="1"/>
    </xf>
    <xf numFmtId="0" fontId="4" fillId="3" borderId="1" xfId="0" applyFont="1" applyFill="1" applyBorder="1" applyAlignment="1">
      <alignment vertical="center" wrapText="1"/>
    </xf>
    <xf numFmtId="0" fontId="4" fillId="3" borderId="1" xfId="0" applyFont="1" applyFill="1" applyBorder="1" applyAlignment="1">
      <alignment horizontal="left" vertical="center" wrapText="1"/>
    </xf>
    <xf numFmtId="9" fontId="4" fillId="3" borderId="1" xfId="4" applyFont="1" applyFill="1" applyBorder="1" applyAlignment="1">
      <alignment horizontal="center" vertical="center"/>
    </xf>
    <xf numFmtId="4" fontId="12" fillId="4" borderId="0" xfId="0" applyNumberFormat="1" applyFont="1" applyFill="1" applyBorder="1" applyAlignment="1">
      <alignment horizontal="center" vertical="center"/>
    </xf>
    <xf numFmtId="0" fontId="4" fillId="3"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4" fillId="3" borderId="1" xfId="0" applyFont="1" applyFill="1" applyBorder="1" applyAlignment="1">
      <alignment horizontal="left" vertical="center" wrapText="1"/>
    </xf>
    <xf numFmtId="4" fontId="4" fillId="0" borderId="1" xfId="0" applyNumberFormat="1" applyFont="1" applyFill="1" applyBorder="1" applyAlignment="1">
      <alignment horizontal="center" vertical="center"/>
    </xf>
    <xf numFmtId="168" fontId="5" fillId="2" borderId="1" xfId="0" applyNumberFormat="1" applyFont="1" applyFill="1" applyBorder="1" applyAlignment="1">
      <alignment horizontal="center" vertical="center" wrapText="1"/>
    </xf>
    <xf numFmtId="44" fontId="4" fillId="3" borderId="1" xfId="8" applyFont="1" applyFill="1" applyBorder="1" applyAlignment="1">
      <alignment horizontal="center" vertical="center"/>
    </xf>
    <xf numFmtId="164" fontId="5" fillId="2" borderId="1" xfId="8" applyNumberFormat="1" applyFont="1" applyFill="1" applyBorder="1" applyAlignment="1">
      <alignment horizontal="center" vertical="center" wrapText="1"/>
    </xf>
    <xf numFmtId="0" fontId="5" fillId="2" borderId="1" xfId="0" applyFont="1" applyFill="1" applyBorder="1" applyAlignment="1">
      <alignment horizontal="left" vertical="center"/>
    </xf>
    <xf numFmtId="0" fontId="5" fillId="5" borderId="1" xfId="0" applyFont="1" applyFill="1" applyBorder="1" applyAlignment="1">
      <alignment horizontal="right" vertical="center"/>
    </xf>
    <xf numFmtId="0" fontId="9" fillId="3" borderId="6" xfId="0" applyFont="1" applyFill="1" applyBorder="1" applyAlignment="1">
      <alignment vertical="center" wrapText="1"/>
    </xf>
    <xf numFmtId="0" fontId="9" fillId="3" borderId="7" xfId="0" applyFont="1" applyFill="1" applyBorder="1" applyAlignment="1">
      <alignment vertical="center" wrapText="1"/>
    </xf>
    <xf numFmtId="0" fontId="9" fillId="3" borderId="8" xfId="0" applyFont="1" applyFill="1" applyBorder="1" applyAlignment="1">
      <alignment vertical="center" wrapText="1"/>
    </xf>
    <xf numFmtId="0" fontId="5" fillId="2" borderId="1" xfId="3" applyNumberFormat="1" applyFont="1" applyFill="1" applyBorder="1" applyAlignment="1">
      <alignment horizontal="left" vertical="center" wrapText="1"/>
    </xf>
    <xf numFmtId="0" fontId="5" fillId="2" borderId="1" xfId="0" applyFont="1" applyFill="1" applyBorder="1" applyAlignment="1">
      <alignment horizontal="right" vertical="center"/>
    </xf>
    <xf numFmtId="0" fontId="10" fillId="3" borderId="4" xfId="0" applyFont="1" applyFill="1" applyBorder="1" applyAlignment="1">
      <alignment horizontal="left" vertical="center"/>
    </xf>
    <xf numFmtId="0" fontId="10" fillId="3" borderId="2" xfId="0" applyFont="1" applyFill="1" applyBorder="1" applyAlignment="1">
      <alignment horizontal="left" vertical="center"/>
    </xf>
    <xf numFmtId="0" fontId="10" fillId="3" borderId="5" xfId="0" applyFont="1" applyFill="1" applyBorder="1" applyAlignment="1">
      <alignment horizontal="left" vertical="center"/>
    </xf>
    <xf numFmtId="0" fontId="9" fillId="3" borderId="3" xfId="0" applyFont="1" applyFill="1" applyBorder="1" applyAlignment="1">
      <alignment vertical="center" wrapText="1"/>
    </xf>
    <xf numFmtId="0" fontId="9" fillId="3" borderId="0" xfId="0" applyFont="1" applyFill="1" applyAlignment="1">
      <alignment vertical="center" wrapText="1"/>
    </xf>
    <xf numFmtId="0" fontId="9" fillId="3" borderId="12" xfId="0" applyFont="1" applyFill="1" applyBorder="1" applyAlignment="1">
      <alignment vertical="center" wrapText="1"/>
    </xf>
    <xf numFmtId="0" fontId="3" fillId="2" borderId="1" xfId="0" applyFont="1" applyFill="1" applyBorder="1" applyAlignment="1">
      <alignment horizontal="center" vertical="center"/>
    </xf>
    <xf numFmtId="0" fontId="2" fillId="3" borderId="1" xfId="3" applyNumberFormat="1" applyFont="1" applyFill="1" applyBorder="1" applyAlignment="1">
      <alignment horizontal="center" vertical="center" wrapText="1"/>
    </xf>
    <xf numFmtId="0" fontId="6" fillId="3" borderId="1" xfId="0" applyFont="1" applyFill="1" applyBorder="1" applyAlignment="1">
      <alignment horizontal="center" vertical="center"/>
    </xf>
    <xf numFmtId="0" fontId="3" fillId="3" borderId="1" xfId="0" applyFont="1" applyFill="1" applyBorder="1" applyAlignment="1">
      <alignment horizontal="center" vertical="center"/>
    </xf>
    <xf numFmtId="164" fontId="3" fillId="3" borderId="1" xfId="0" applyNumberFormat="1" applyFont="1" applyFill="1" applyBorder="1" applyAlignment="1">
      <alignment horizontal="center" vertical="center"/>
    </xf>
    <xf numFmtId="10" fontId="3" fillId="3" borderId="1" xfId="0" applyNumberFormat="1" applyFont="1" applyFill="1" applyBorder="1" applyAlignment="1">
      <alignment horizontal="center" vertical="center"/>
    </xf>
    <xf numFmtId="14" fontId="3" fillId="3" borderId="1" xfId="0" applyNumberFormat="1"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166" fontId="5" fillId="5" borderId="1" xfId="3" applyFont="1" applyFill="1" applyBorder="1" applyAlignment="1">
      <alignment horizontal="right" vertical="center" wrapText="1"/>
    </xf>
    <xf numFmtId="0" fontId="4" fillId="2" borderId="1" xfId="0" applyFont="1" applyFill="1" applyBorder="1" applyAlignment="1">
      <alignment horizontal="justify" vertical="center" wrapText="1"/>
    </xf>
    <xf numFmtId="0" fontId="5" fillId="2" borderId="1" xfId="0" applyFont="1" applyFill="1" applyBorder="1" applyAlignment="1">
      <alignment horizontal="center" vertical="center" wrapText="1"/>
    </xf>
    <xf numFmtId="0" fontId="4" fillId="3" borderId="1" xfId="0" applyFont="1" applyFill="1" applyBorder="1" applyAlignment="1">
      <alignment vertical="center" wrapText="1"/>
    </xf>
    <xf numFmtId="0" fontId="5" fillId="5" borderId="1" xfId="0" applyFont="1" applyFill="1" applyBorder="1" applyAlignment="1">
      <alignment horizontal="center" vertical="center"/>
    </xf>
    <xf numFmtId="0" fontId="4" fillId="3" borderId="4"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5" fillId="12" borderId="1" xfId="0" applyFont="1" applyFill="1" applyBorder="1" applyAlignment="1">
      <alignment horizontal="left" vertical="center"/>
    </xf>
    <xf numFmtId="0" fontId="5" fillId="3" borderId="1" xfId="0" applyFont="1" applyFill="1" applyBorder="1" applyAlignment="1">
      <alignment horizontal="center" vertical="center" wrapText="1"/>
    </xf>
    <xf numFmtId="0" fontId="4" fillId="3" borderId="9"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11" xfId="0" applyFont="1" applyFill="1" applyBorder="1" applyAlignment="1">
      <alignment horizontal="left" vertical="center" wrapText="1"/>
    </xf>
    <xf numFmtId="4" fontId="4" fillId="3" borderId="15" xfId="0" applyNumberFormat="1" applyFont="1" applyFill="1" applyBorder="1" applyAlignment="1">
      <alignment horizontal="center" vertical="center"/>
    </xf>
    <xf numFmtId="4" fontId="4" fillId="3" borderId="17" xfId="0" applyNumberFormat="1" applyFont="1" applyFill="1" applyBorder="1" applyAlignment="1">
      <alignment horizontal="center" vertical="center"/>
    </xf>
    <xf numFmtId="4" fontId="4" fillId="3" borderId="16" xfId="0" applyNumberFormat="1" applyFont="1" applyFill="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164" fontId="4" fillId="3"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4" fillId="3" borderId="1" xfId="0" applyFont="1" applyFill="1" applyBorder="1" applyAlignment="1">
      <alignment horizontal="justify" vertical="center"/>
    </xf>
    <xf numFmtId="0" fontId="5" fillId="5" borderId="9"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11" xfId="0" applyFont="1" applyFill="1" applyBorder="1" applyAlignment="1">
      <alignment horizontal="center" vertical="center"/>
    </xf>
    <xf numFmtId="0" fontId="4" fillId="3" borderId="1" xfId="0" applyFont="1" applyFill="1" applyBorder="1" applyAlignment="1">
      <alignment horizontal="left" vertical="center"/>
    </xf>
    <xf numFmtId="0" fontId="4"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4" fillId="3" borderId="16" xfId="0" applyFont="1" applyFill="1" applyBorder="1" applyAlignment="1">
      <alignment vertical="center" wrapText="1"/>
    </xf>
    <xf numFmtId="0" fontId="4" fillId="3" borderId="9" xfId="0" applyFont="1" applyFill="1" applyBorder="1" applyAlignment="1">
      <alignment horizontal="justify" vertical="center"/>
    </xf>
    <xf numFmtId="0" fontId="4" fillId="3" borderId="10" xfId="0" applyFont="1" applyFill="1" applyBorder="1" applyAlignment="1">
      <alignment horizontal="justify" vertical="center"/>
    </xf>
    <xf numFmtId="0" fontId="4" fillId="3" borderId="11" xfId="0" applyFont="1" applyFill="1" applyBorder="1" applyAlignment="1">
      <alignment horizontal="justify"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4" fillId="2" borderId="9" xfId="0" applyFont="1" applyFill="1" applyBorder="1" applyAlignment="1">
      <alignment horizontal="justify" vertical="center" wrapText="1"/>
    </xf>
    <xf numFmtId="0" fontId="4" fillId="2" borderId="10" xfId="0" applyFont="1" applyFill="1" applyBorder="1" applyAlignment="1">
      <alignment horizontal="justify" vertical="center" wrapText="1"/>
    </xf>
    <xf numFmtId="0" fontId="4" fillId="2" borderId="11" xfId="0" applyFont="1" applyFill="1" applyBorder="1" applyAlignment="1">
      <alignment horizontal="justify" vertical="center" wrapText="1"/>
    </xf>
    <xf numFmtId="0" fontId="5" fillId="12" borderId="1" xfId="0" applyFont="1" applyFill="1" applyBorder="1" applyAlignment="1">
      <alignment horizontal="justify" vertical="center"/>
    </xf>
    <xf numFmtId="0" fontId="4" fillId="2" borderId="1" xfId="0" applyFont="1" applyFill="1" applyBorder="1" applyAlignment="1">
      <alignment horizontal="justify" vertical="center"/>
    </xf>
    <xf numFmtId="0" fontId="2" fillId="3" borderId="1" xfId="1" applyNumberFormat="1" applyFont="1" applyFill="1" applyBorder="1" applyAlignment="1">
      <alignment horizontal="center" vertical="center" wrapText="1"/>
    </xf>
    <xf numFmtId="0" fontId="3" fillId="12" borderId="1" xfId="0" applyFont="1" applyFill="1" applyBorder="1" applyAlignment="1">
      <alignment horizontal="center" vertical="center"/>
    </xf>
    <xf numFmtId="0" fontId="3" fillId="3" borderId="1" xfId="0" applyFont="1" applyFill="1" applyBorder="1" applyAlignment="1">
      <alignment horizontal="center" vertical="center" wrapText="1"/>
    </xf>
    <xf numFmtId="10" fontId="6" fillId="3" borderId="1" xfId="0" applyNumberFormat="1" applyFont="1" applyFill="1" applyBorder="1" applyAlignment="1">
      <alignment horizontal="center" vertical="center"/>
    </xf>
    <xf numFmtId="14" fontId="6" fillId="3" borderId="1" xfId="0" applyNumberFormat="1" applyFont="1" applyFill="1" applyBorder="1" applyAlignment="1">
      <alignment horizontal="center" vertical="center"/>
    </xf>
    <xf numFmtId="0" fontId="4" fillId="2" borderId="9" xfId="0" applyFont="1" applyFill="1" applyBorder="1" applyAlignment="1">
      <alignment horizontal="justify" vertical="center"/>
    </xf>
    <xf numFmtId="0" fontId="4" fillId="2" borderId="10" xfId="0" applyFont="1" applyFill="1" applyBorder="1" applyAlignment="1">
      <alignment horizontal="justify" vertical="center"/>
    </xf>
    <xf numFmtId="0" fontId="4" fillId="2" borderId="11" xfId="0" applyFont="1" applyFill="1" applyBorder="1" applyAlignment="1">
      <alignment horizontal="justify" vertical="center"/>
    </xf>
    <xf numFmtId="0" fontId="5" fillId="3" borderId="1" xfId="0" applyFont="1" applyFill="1" applyBorder="1" applyAlignment="1">
      <alignment horizontal="center" vertical="center"/>
    </xf>
    <xf numFmtId="165" fontId="4" fillId="3" borderId="1" xfId="0" applyNumberFormat="1" applyFont="1" applyFill="1" applyBorder="1" applyAlignment="1">
      <alignment horizontal="center" vertical="center"/>
    </xf>
    <xf numFmtId="0" fontId="4" fillId="0" borderId="1" xfId="0" applyFont="1" applyFill="1" applyBorder="1" applyAlignment="1">
      <alignment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4" fillId="3" borderId="1" xfId="0" applyFont="1" applyFill="1" applyBorder="1" applyAlignment="1">
      <alignment horizontal="left" vertical="center" wrapText="1"/>
    </xf>
    <xf numFmtId="164" fontId="5" fillId="2" borderId="1" xfId="0" applyNumberFormat="1" applyFont="1" applyFill="1" applyBorder="1" applyAlignment="1">
      <alignment horizontal="center" vertical="center" wrapText="1"/>
    </xf>
    <xf numFmtId="0" fontId="5" fillId="3" borderId="1" xfId="0" applyFont="1" applyFill="1" applyBorder="1" applyAlignment="1">
      <alignment horizontal="right" vertical="center" wrapText="1"/>
    </xf>
    <xf numFmtId="0" fontId="20" fillId="2" borderId="1" xfId="0" applyFont="1" applyFill="1" applyBorder="1" applyAlignment="1">
      <alignment horizontal="center" vertical="center" wrapText="1"/>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2" fillId="0" borderId="1" xfId="1" applyNumberFormat="1" applyFont="1" applyFill="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0" fontId="6"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64" fontId="5" fillId="2" borderId="15" xfId="0" applyNumberFormat="1" applyFont="1" applyFill="1" applyBorder="1" applyAlignment="1">
      <alignment horizontal="center" vertical="center" wrapText="1"/>
    </xf>
    <xf numFmtId="164" fontId="5" fillId="2" borderId="16"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4" fillId="5" borderId="9" xfId="0" applyFont="1" applyFill="1" applyBorder="1" applyAlignment="1">
      <alignment horizontal="left" vertical="center" wrapText="1"/>
    </xf>
    <xf numFmtId="0" fontId="4" fillId="5" borderId="10"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5" fillId="0" borderId="4" xfId="2" applyFont="1" applyFill="1" applyBorder="1" applyAlignment="1" applyProtection="1">
      <alignment horizontal="left" vertical="center" wrapText="1"/>
    </xf>
    <xf numFmtId="0" fontId="5" fillId="0" borderId="2" xfId="2" applyFont="1" applyFill="1" applyBorder="1" applyAlignment="1" applyProtection="1">
      <alignment horizontal="left" vertical="center" wrapText="1"/>
    </xf>
    <xf numFmtId="0" fontId="5" fillId="0" borderId="5" xfId="2" applyFont="1" applyFill="1" applyBorder="1" applyAlignment="1" applyProtection="1">
      <alignment horizontal="left" vertical="center" wrapText="1"/>
    </xf>
    <xf numFmtId="0" fontId="4" fillId="9" borderId="1" xfId="2" applyFont="1" applyFill="1" applyBorder="1" applyAlignment="1" applyProtection="1">
      <alignment horizontal="left" vertical="center" wrapText="1"/>
    </xf>
    <xf numFmtId="0" fontId="4" fillId="3" borderId="3" xfId="2" applyFont="1" applyFill="1" applyBorder="1" applyAlignment="1" applyProtection="1">
      <alignment horizontal="center" vertical="center"/>
    </xf>
    <xf numFmtId="0" fontId="4" fillId="3" borderId="0" xfId="2" applyFont="1" applyFill="1" applyBorder="1" applyAlignment="1" applyProtection="1">
      <alignment horizontal="center" vertical="center"/>
    </xf>
    <xf numFmtId="0" fontId="4" fillId="3" borderId="12" xfId="2" applyFont="1" applyFill="1" applyBorder="1" applyAlignment="1" applyProtection="1">
      <alignment horizontal="center" vertical="center"/>
    </xf>
    <xf numFmtId="0" fontId="2" fillId="0" borderId="1" xfId="3"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2" applyFont="1" applyFill="1" applyBorder="1" applyAlignment="1" applyProtection="1">
      <alignment horizontal="justify" vertical="center" wrapText="1"/>
    </xf>
    <xf numFmtId="10" fontId="4" fillId="8" borderId="1" xfId="2" applyNumberFormat="1" applyFont="1" applyFill="1" applyBorder="1" applyAlignment="1" applyProtection="1">
      <alignment horizontal="center" vertical="center"/>
      <protection locked="0"/>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0" fillId="0" borderId="1" xfId="2" applyFont="1" applyBorder="1" applyAlignment="1" applyProtection="1">
      <alignment horizontal="center" vertical="center" wrapText="1"/>
    </xf>
    <xf numFmtId="0" fontId="13" fillId="3" borderId="1" xfId="2" applyFont="1" applyFill="1" applyBorder="1" applyAlignment="1" applyProtection="1">
      <alignment horizontal="center" vertical="center" wrapText="1"/>
    </xf>
    <xf numFmtId="49" fontId="0" fillId="8" borderId="1" xfId="2" applyNumberFormat="1" applyFont="1" applyFill="1" applyBorder="1" applyAlignment="1" applyProtection="1">
      <alignment horizontal="center" vertical="top" wrapText="1"/>
      <protection locked="0"/>
    </xf>
    <xf numFmtId="0" fontId="4" fillId="3" borderId="3" xfId="2" applyFont="1" applyFill="1" applyBorder="1" applyAlignment="1" applyProtection="1">
      <alignment horizontal="center"/>
    </xf>
    <xf numFmtId="0" fontId="4" fillId="3" borderId="0" xfId="2" applyFont="1" applyFill="1" applyBorder="1" applyAlignment="1" applyProtection="1">
      <alignment horizontal="center"/>
    </xf>
    <xf numFmtId="0" fontId="4" fillId="3" borderId="12" xfId="2" applyFont="1" applyFill="1" applyBorder="1" applyAlignment="1" applyProtection="1">
      <alignment horizontal="center"/>
    </xf>
    <xf numFmtId="0" fontId="4" fillId="3" borderId="6" xfId="2" applyFont="1" applyFill="1" applyBorder="1" applyAlignment="1" applyProtection="1">
      <alignment horizontal="center"/>
    </xf>
    <xf numFmtId="0" fontId="4" fillId="3" borderId="7" xfId="2" applyFont="1" applyFill="1" applyBorder="1" applyAlignment="1" applyProtection="1">
      <alignment horizontal="center"/>
    </xf>
    <xf numFmtId="0" fontId="4" fillId="3" borderId="8" xfId="2" applyFont="1" applyFill="1" applyBorder="1" applyAlignment="1" applyProtection="1">
      <alignment horizontal="center"/>
    </xf>
    <xf numFmtId="0" fontId="3" fillId="0" borderId="1" xfId="2" applyFont="1" applyBorder="1" applyAlignment="1" applyProtection="1">
      <alignment horizontal="center" vertical="center"/>
    </xf>
    <xf numFmtId="0" fontId="6" fillId="10" borderId="1" xfId="2" applyFont="1" applyFill="1" applyBorder="1" applyAlignment="1" applyProtection="1">
      <alignment horizontal="center" vertical="center" wrapText="1"/>
    </xf>
    <xf numFmtId="0" fontId="6" fillId="11" borderId="3" xfId="2" applyFont="1" applyFill="1" applyBorder="1" applyAlignment="1" applyProtection="1">
      <alignment horizontal="center" vertical="center" wrapText="1"/>
    </xf>
    <xf numFmtId="0" fontId="6" fillId="11" borderId="0" xfId="2" applyFont="1" applyFill="1" applyBorder="1" applyAlignment="1" applyProtection="1">
      <alignment horizontal="center" vertical="center" wrapText="1"/>
    </xf>
    <xf numFmtId="0" fontId="6" fillId="11" borderId="12" xfId="2" applyFont="1" applyFill="1" applyBorder="1" applyAlignment="1" applyProtection="1">
      <alignment horizontal="center" vertical="center" wrapText="1"/>
    </xf>
    <xf numFmtId="0" fontId="5" fillId="2" borderId="1" xfId="2" applyFont="1" applyFill="1" applyBorder="1" applyAlignment="1">
      <alignment horizontal="center" vertical="center" wrapText="1"/>
    </xf>
    <xf numFmtId="0" fontId="4" fillId="7" borderId="1" xfId="2" applyFill="1" applyBorder="1" applyAlignment="1">
      <alignment horizontal="center" vertical="center"/>
    </xf>
    <xf numFmtId="0" fontId="4" fillId="7" borderId="1" xfId="2" applyFill="1" applyBorder="1" applyAlignment="1">
      <alignment horizontal="left" vertical="center" wrapText="1"/>
    </xf>
    <xf numFmtId="0" fontId="5" fillId="3" borderId="1" xfId="2" applyFont="1" applyFill="1" applyBorder="1" applyAlignment="1">
      <alignment horizontal="center" vertical="center"/>
    </xf>
    <xf numFmtId="0" fontId="5" fillId="3" borderId="1" xfId="2" applyFont="1" applyFill="1" applyBorder="1" applyAlignment="1">
      <alignment horizontal="center" vertical="center" wrapText="1"/>
    </xf>
    <xf numFmtId="0" fontId="3" fillId="2" borderId="1" xfId="2" applyFont="1" applyFill="1" applyBorder="1" applyAlignment="1">
      <alignment horizontal="center" vertical="center" wrapText="1"/>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cellXfs>
  <cellStyles count="10">
    <cellStyle name="Moeda" xfId="8" builtinId="4"/>
    <cellStyle name="Normal" xfId="0" builtinId="0"/>
    <cellStyle name="Normal 2" xfId="2"/>
    <cellStyle name="Normal 3" xfId="7"/>
    <cellStyle name="Porcentagem" xfId="4" builtinId="5"/>
    <cellStyle name="Vírgula" xfId="1" builtinId="3"/>
    <cellStyle name="Vírgula 2" xfId="3"/>
    <cellStyle name="Vírgula 2 2" xfId="9"/>
    <cellStyle name="Vírgula 2 3" xfId="5"/>
    <cellStyle name="Vírgula 3" xfId="6"/>
  </cellStyles>
  <dxfs count="3">
    <dxf>
      <font>
        <b/>
        <i val="0"/>
        <condense val="0"/>
        <extend val="0"/>
      </font>
    </dxf>
    <dxf>
      <font>
        <b/>
        <i val="0"/>
        <condense val="0"/>
        <extend val="0"/>
        <color indexed="9"/>
      </font>
      <fill>
        <patternFill patternType="none">
          <fgColor indexed="64"/>
          <bgColor indexed="65"/>
        </patternFill>
      </fill>
      <border>
        <left/>
        <right/>
        <top style="thin">
          <color indexed="64"/>
        </top>
        <bottom/>
      </border>
    </dxf>
    <dxf>
      <font>
        <b/>
        <i val="0"/>
        <condense val="0"/>
        <extend val="0"/>
        <color indexed="9"/>
      </font>
      <fill>
        <patternFill patternType="none">
          <fgColor indexed="64"/>
          <bgColor indexed="65"/>
        </patternFill>
      </fill>
      <border>
        <left/>
        <right/>
        <top style="thin">
          <color indexed="64"/>
        </top>
        <bottom/>
      </border>
    </dxf>
  </dxfs>
  <tableStyles count="0" defaultTableStyle="TableStyleMedium2" defaultPivotStyle="PivotStyleMedium9"/>
  <colors>
    <mruColors>
      <color rgb="FF00FFFF"/>
      <color rgb="FF00FF00"/>
      <color rgb="FF994C00"/>
      <color rgb="FF3F7F7F"/>
      <color rgb="FF7F66CC"/>
      <color rgb="FFFF7F9F"/>
      <color rgb="FF66FF66"/>
      <color rgb="FF0000FF"/>
      <color rgb="FFFF33CC"/>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66675</xdr:colOff>
      <xdr:row>0</xdr:row>
      <xdr:rowOff>76200</xdr:rowOff>
    </xdr:from>
    <xdr:to>
      <xdr:col>2</xdr:col>
      <xdr:colOff>600075</xdr:colOff>
      <xdr:row>2</xdr:row>
      <xdr:rowOff>142875</xdr:rowOff>
    </xdr:to>
    <xdr:pic>
      <xdr:nvPicPr>
        <xdr:cNvPr id="2" name="Imagem 2">
          <a:extLst>
            <a:ext uri="{FF2B5EF4-FFF2-40B4-BE49-F238E27FC236}">
              <a16:creationId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19050</xdr:colOff>
      <xdr:row>0</xdr:row>
      <xdr:rowOff>76200</xdr:rowOff>
    </xdr:from>
    <xdr:to>
      <xdr:col>7</xdr:col>
      <xdr:colOff>552450</xdr:colOff>
      <xdr:row>2</xdr:row>
      <xdr:rowOff>142875</xdr:rowOff>
    </xdr:to>
    <xdr:pic>
      <xdr:nvPicPr>
        <xdr:cNvPr id="3" name="Picture 56">
          <a:extLst>
            <a:ext uri="{FF2B5EF4-FFF2-40B4-BE49-F238E27FC236}">
              <a16:creationId xmlns:a16="http://schemas.microsoft.com/office/drawing/2014/main" id="{00000000-0008-0000-0000-000003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60145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962025</xdr:colOff>
      <xdr:row>0</xdr:row>
      <xdr:rowOff>76199</xdr:rowOff>
    </xdr:from>
    <xdr:to>
      <xdr:col>8</xdr:col>
      <xdr:colOff>513750</xdr:colOff>
      <xdr:row>2</xdr:row>
      <xdr:rowOff>143099</xdr:rowOff>
    </xdr:to>
    <xdr:pic>
      <xdr:nvPicPr>
        <xdr:cNvPr id="2" name="Picture 56">
          <a:extLst>
            <a:ext uri="{FF2B5EF4-FFF2-40B4-BE49-F238E27FC236}">
              <a16:creationId xmlns:a16="http://schemas.microsoft.com/office/drawing/2014/main" id="{00000000-0008-0000-0100-000002000000}"/>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8953500" y="76199"/>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466725</xdr:colOff>
      <xdr:row>0</xdr:row>
      <xdr:rowOff>76200</xdr:rowOff>
    </xdr:from>
    <xdr:to>
      <xdr:col>1</xdr:col>
      <xdr:colOff>999525</xdr:colOff>
      <xdr:row>2</xdr:row>
      <xdr:rowOff>143100</xdr:rowOff>
    </xdr:to>
    <xdr:pic>
      <xdr:nvPicPr>
        <xdr:cNvPr id="3" name="Imagem 2">
          <a:extLst>
            <a:ext uri="{FF2B5EF4-FFF2-40B4-BE49-F238E27FC236}">
              <a16:creationId xmlns:a16="http://schemas.microsoft.com/office/drawing/2014/main" id="{00000000-0008-0000-0100-000003000000}"/>
            </a:ext>
          </a:extLst>
        </xdr:cNvPr>
        <xdr:cNvPicPr preferRelativeResize="0">
          <a:picLocks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447800" y="76200"/>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371475</xdr:colOff>
      <xdr:row>0</xdr:row>
      <xdr:rowOff>76200</xdr:rowOff>
    </xdr:from>
    <xdr:to>
      <xdr:col>1</xdr:col>
      <xdr:colOff>904875</xdr:colOff>
      <xdr:row>2</xdr:row>
      <xdr:rowOff>142875</xdr:rowOff>
    </xdr:to>
    <xdr:pic>
      <xdr:nvPicPr>
        <xdr:cNvPr id="4" name="Imagem 2">
          <a:extLst>
            <a:ext uri="{FF2B5EF4-FFF2-40B4-BE49-F238E27FC236}">
              <a16:creationId xmlns:a16="http://schemas.microsoft.com/office/drawing/2014/main" id="{00000000-0008-0000-02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552450</xdr:colOff>
      <xdr:row>0</xdr:row>
      <xdr:rowOff>123825</xdr:rowOff>
    </xdr:from>
    <xdr:to>
      <xdr:col>7</xdr:col>
      <xdr:colOff>266700</xdr:colOff>
      <xdr:row>2</xdr:row>
      <xdr:rowOff>190500</xdr:rowOff>
    </xdr:to>
    <xdr:pic>
      <xdr:nvPicPr>
        <xdr:cNvPr id="5" name="Picture 56">
          <a:extLst>
            <a:ext uri="{FF2B5EF4-FFF2-40B4-BE49-F238E27FC236}">
              <a16:creationId xmlns:a16="http://schemas.microsoft.com/office/drawing/2014/main" id="{00000000-0008-0000-0200-000005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72825" y="123825"/>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0</xdr:row>
      <xdr:rowOff>85725</xdr:rowOff>
    </xdr:from>
    <xdr:to>
      <xdr:col>1</xdr:col>
      <xdr:colOff>1133475</xdr:colOff>
      <xdr:row>2</xdr:row>
      <xdr:rowOff>152400</xdr:rowOff>
    </xdr:to>
    <xdr:pic>
      <xdr:nvPicPr>
        <xdr:cNvPr id="2" name="Imagem 2">
          <a:extLst>
            <a:ext uri="{FF2B5EF4-FFF2-40B4-BE49-F238E27FC236}">
              <a16:creationId xmlns:a16="http://schemas.microsoft.com/office/drawing/2014/main" id="{00000000-0008-0000-02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9675" y="85725"/>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190500</xdr:colOff>
      <xdr:row>0</xdr:row>
      <xdr:rowOff>66675</xdr:rowOff>
    </xdr:from>
    <xdr:to>
      <xdr:col>7</xdr:col>
      <xdr:colOff>723900</xdr:colOff>
      <xdr:row>2</xdr:row>
      <xdr:rowOff>95250</xdr:rowOff>
    </xdr:to>
    <xdr:pic>
      <xdr:nvPicPr>
        <xdr:cNvPr id="3" name="Picture 56">
          <a:extLst>
            <a:ext uri="{FF2B5EF4-FFF2-40B4-BE49-F238E27FC236}">
              <a16:creationId xmlns:a16="http://schemas.microsoft.com/office/drawing/2014/main" id="{00000000-0008-0000-0200-000005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411075" y="66675"/>
          <a:ext cx="5334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962025</xdr:colOff>
      <xdr:row>0</xdr:row>
      <xdr:rowOff>76200</xdr:rowOff>
    </xdr:from>
    <xdr:to>
      <xdr:col>8</xdr:col>
      <xdr:colOff>533400</xdr:colOff>
      <xdr:row>2</xdr:row>
      <xdr:rowOff>142875</xdr:rowOff>
    </xdr:to>
    <xdr:pic>
      <xdr:nvPicPr>
        <xdr:cNvPr id="9" name="Picture 56"/>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0150" y="76200"/>
          <a:ext cx="5524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466725</xdr:colOff>
      <xdr:row>0</xdr:row>
      <xdr:rowOff>76200</xdr:rowOff>
    </xdr:from>
    <xdr:to>
      <xdr:col>1</xdr:col>
      <xdr:colOff>1000125</xdr:colOff>
      <xdr:row>2</xdr:row>
      <xdr:rowOff>142875</xdr:rowOff>
    </xdr:to>
    <xdr:pic>
      <xdr:nvPicPr>
        <xdr:cNvPr id="10" name="Imagem 4"/>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1445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9525</xdr:colOff>
      <xdr:row>30</xdr:row>
      <xdr:rowOff>38100</xdr:rowOff>
    </xdr:from>
    <xdr:ext cx="10782300" cy="352469"/>
    <mc:AlternateContent xmlns:mc="http://schemas.openxmlformats.org/markup-compatibility/2006" xmlns:a14="http://schemas.microsoft.com/office/drawing/2010/main">
      <mc:Choice Requires="a14">
        <xdr:sp macro="" textlink="">
          <xdr:nvSpPr>
            <xdr:cNvPr id="11" name="CaixaDeTexto 10"/>
            <xdr:cNvSpPr txBox="1"/>
          </xdr:nvSpPr>
          <xdr:spPr>
            <a:xfrm>
              <a:off x="9525" y="66770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11" name="CaixaDeTexto 10"/>
            <xdr:cNvSpPr txBox="1"/>
          </xdr:nvSpPr>
          <xdr:spPr>
            <a:xfrm>
              <a:off x="9525" y="66770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819150</xdr:colOff>
      <xdr:row>0</xdr:row>
      <xdr:rowOff>76200</xdr:rowOff>
    </xdr:from>
    <xdr:to>
      <xdr:col>1</xdr:col>
      <xdr:colOff>1352550</xdr:colOff>
      <xdr:row>2</xdr:row>
      <xdr:rowOff>142875</xdr:rowOff>
    </xdr:to>
    <xdr:pic>
      <xdr:nvPicPr>
        <xdr:cNvPr id="4" name="Imagem 2">
          <a:extLst>
            <a:ext uri="{FF2B5EF4-FFF2-40B4-BE49-F238E27FC236}">
              <a16:creationId xmlns:a16="http://schemas.microsoft.com/office/drawing/2014/main" id="{00000000-0008-0000-04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333375</xdr:colOff>
      <xdr:row>0</xdr:row>
      <xdr:rowOff>66675</xdr:rowOff>
    </xdr:from>
    <xdr:to>
      <xdr:col>14</xdr:col>
      <xdr:colOff>85725</xdr:colOff>
      <xdr:row>2</xdr:row>
      <xdr:rowOff>133350</xdr:rowOff>
    </xdr:to>
    <xdr:pic>
      <xdr:nvPicPr>
        <xdr:cNvPr id="5" name="Picture 56">
          <a:extLst>
            <a:ext uri="{FF2B5EF4-FFF2-40B4-BE49-F238E27FC236}">
              <a16:creationId xmlns:a16="http://schemas.microsoft.com/office/drawing/2014/main" id="{00000000-0008-0000-0400-000005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096625" y="66675"/>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RAS/&#8226;%20VIGENTES/INDIRETA/ATA%20-%20PINTURA%20DE%20BENS%20PUBLICOS%202022/02%20-%20PLANILHA%20OR&#199;AMENT&#193;RIA/Planilha%20Or&#231;amentaria/C&#225;lculo%20do%20BDI%20-%20Pintur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BRAS/&#8226;%20EM%20AN&#193;LISE/2022/PAV.%20-%20RUA%20NUNO%20LAGE/02%20-%20PLANILHA%20OR&#199;AMENT&#193;RIA/PLANILHA%20OR&#199;AMENT&#193;RIA%20-%20PAV.%20-%20AV%20NUNO%20LAGE%20-%20REV.01%20JM.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OBRAS/&#8226;%20VIGENTES/INDIRETA/PAV.%20-%20RUA%20ITABIRA/02%20-%20PLANILHA%20OR&#199;AMENT&#193;RIA/Planilha%20Or&#231;ament&#225;ria%20-%20Pavimenta&#231;&#227;o%20Rua%20Itabira%20-%20Rev.13%20J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OBRAS/&#8226;%20VIGENTES/INDIRETA/ATA%20-%20PINTURA%20DE%20BENS%20PUBLICOS%202022/02%20-%20PLANILHA%20OR&#199;AMENT&#193;RIA/Planilha%20Or&#231;amentaria/Planilha%20Or&#231;ament&#225;ria%20-%20Pintura%20de%20Bens%20P&#250;blicos%202022%20-%20REV.02%20L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DADOS"/>
      <sheetName val="NOVO"/>
      <sheetName val="BDI"/>
      <sheetName val="ORÇAMENTO"/>
      <sheetName val="CÁLCULO"/>
      <sheetName val="EVENTOS"/>
      <sheetName val="CRONO"/>
      <sheetName val="CRONOPLE"/>
      <sheetName val="PLE"/>
      <sheetName val="QCI"/>
      <sheetName val="BM"/>
      <sheetName val="RRE"/>
      <sheetName val="OFÍC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Orçamentária"/>
      <sheetName val="Mem. Cálc. - P.O"/>
      <sheetName val="C.P.U."/>
      <sheetName val="Memória de cálculo - Composição"/>
      <sheetName val="BDI"/>
      <sheetName val="Cronograma Fis-Fin"/>
    </sheetNames>
    <sheetDataSet>
      <sheetData sheetId="0">
        <row r="4">
          <cell r="A4" t="str">
            <v>OBRA POR EXECUÇÃO INDIRETA</v>
          </cell>
        </row>
        <row r="5">
          <cell r="A5" t="str">
            <v>Setor requisitante: Secretaria Municipal de Obras e Serviços Urbanos</v>
          </cell>
        </row>
        <row r="6">
          <cell r="A6" t="str">
            <v>Objeto:</v>
          </cell>
          <cell r="G6" t="str">
            <v>BDI:</v>
          </cell>
          <cell r="H6">
            <v>0.30380000000000001</v>
          </cell>
        </row>
        <row r="41">
          <cell r="A41" t="str">
            <v>5.11</v>
          </cell>
        </row>
        <row r="42">
          <cell r="D42" t="str">
            <v>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v>
          </cell>
        </row>
      </sheetData>
      <sheetData sheetId="1" refreshError="1"/>
      <sheetData sheetId="2">
        <row r="9">
          <cell r="B9" t="str">
            <v>Poço de visita para drenagem pluvial em alvenaria de blocos de concreto, cheios em concreto Fck ≥ 20MPa, dimensões internas de 100X100cm, altura de 150 cm a 300 cm (varíável de acordo com perfil da rede), para rede DN 400mm e DN600mm, com tampa de concreto armado e reboco interno, incluindo escavação e reaterro compactado, conforme projeto</v>
          </cell>
        </row>
        <row r="11">
          <cell r="A11" t="str">
            <v>001.1</v>
          </cell>
          <cell r="E11" t="str">
            <v>Execução de radier, espessura de 15 cm, Fck = 30 MPa, com uso de formas em madeira serrada inclusive execução de lastro com material granular (pedra britada n.2), escavação manual e compactação mecânica de solo</v>
          </cell>
        </row>
        <row r="12">
          <cell r="A12" t="str">
            <v>001.2</v>
          </cell>
          <cell r="E12" t="str">
            <v>Corte e dobra de aço CA-50, diâmetro de 10,0 mm (0,617kg/m), utilizado em estrutura diversas (Armadura positiva e negativa em duas direções para radier)</v>
          </cell>
        </row>
        <row r="14">
          <cell r="A14" t="str">
            <v>001.4</v>
          </cell>
          <cell r="E14" t="str">
            <v>Confecção de tampa em concreto armado, com armadura de ø 10,00 mm em duas direções, para poço de visita, Fck ≥ 35 MPa, inclusive lançamento de concreto, adensamento com vibrador de imersão, acabamento e formas</v>
          </cell>
        </row>
        <row r="15">
          <cell r="A15" t="str">
            <v>001.5</v>
          </cell>
          <cell r="E15" t="str">
            <v>Corte e dobra de aço CA-50, diâmetro de 10,0 mm (0,617kg/m), utilizado em estrutura diversas (Armadura positiva e negativa em duas direções para tampa de concreto</v>
          </cell>
        </row>
        <row r="16">
          <cell r="A16" t="str">
            <v>001.6</v>
          </cell>
          <cell r="E16" t="str">
            <v>Reboco, em argamassa traço 1:3 (Em volume de cimento e areia média úmida) para paredes internas, preparo mecânico com betoneira 600 L, aplicado manualmente em faces internas de paredes, espessura de 35 mm.</v>
          </cell>
        </row>
        <row r="17">
          <cell r="A17" t="str">
            <v>001.7</v>
          </cell>
          <cell r="E17" t="str">
            <v>Armação do sistema de paredes com uso de tela Q-196 (3,11 kg/m2)</v>
          </cell>
        </row>
        <row r="30">
          <cell r="A30">
            <v>3</v>
          </cell>
          <cell r="B30" t="str">
            <v>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v>
          </cell>
        </row>
        <row r="32">
          <cell r="A32" t="str">
            <v>003.1</v>
          </cell>
          <cell r="E32" t="str">
            <v>Execução de radier, espessura de 15 cm, Fck = 30 MPa, com uso de formas em madeira serrada inclusive execução de lastro com material granular (pedra britada n.2), escavação manual e compactação mecânica de solo</v>
          </cell>
        </row>
        <row r="33">
          <cell r="A33" t="str">
            <v>003.2</v>
          </cell>
          <cell r="E33" t="str">
            <v>Corte e dobra de aço CA-50, diâmetro de 10,0 mm (0,617kg/m), utilizado em estrutura diversas (Armadura positiva e negativa em duas direções para radier)</v>
          </cell>
        </row>
        <row r="35">
          <cell r="A35" t="str">
            <v>003.4</v>
          </cell>
          <cell r="E35" t="str">
            <v>Confecção de tampa em concreto armado, com armadura de ø 10,00 mm em duas direções, para poço de visita, Fck ≥ 35 MPa, inclusive lançamento de concreto, adensamento com vibrador de imersão, acabamento e formas</v>
          </cell>
        </row>
        <row r="36">
          <cell r="A36" t="str">
            <v>003.5</v>
          </cell>
          <cell r="E36" t="str">
            <v>Corte e dobra de aço CA-50, diâmetro de 10,0 mm (0,617kg/m), utilizado em estrutura diversas (Armadura positiva e negativa em duas direções para tampa de concreto)</v>
          </cell>
        </row>
        <row r="37">
          <cell r="A37" t="str">
            <v>003.6</v>
          </cell>
          <cell r="E37" t="str">
            <v>Reboco, em argamassa traço 1:3 (Em volume de cimento e areia média úmida) para paredes internas, preparo mecânico com betoneira 600 L, aplicado manualmente em faces internas de paredes, espessura de 35 mm.</v>
          </cell>
        </row>
        <row r="38">
          <cell r="A38" t="str">
            <v>003.7</v>
          </cell>
          <cell r="E38" t="str">
            <v>Armação do sistema de paredes com uso de tela Q-196 (3,11 kg/m2)</v>
          </cell>
        </row>
      </sheetData>
      <sheetData sheetId="3">
        <row r="40">
          <cell r="I40">
            <v>1.96</v>
          </cell>
        </row>
        <row r="45">
          <cell r="I45">
            <v>49.76</v>
          </cell>
        </row>
        <row r="49">
          <cell r="I49">
            <v>1.96</v>
          </cell>
        </row>
        <row r="54">
          <cell r="I54">
            <v>49.76</v>
          </cell>
        </row>
        <row r="58">
          <cell r="I58">
            <v>0.21</v>
          </cell>
        </row>
        <row r="62">
          <cell r="I62">
            <v>18.66</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orçamentária"/>
      <sheetName val="Memória de cálculo"/>
      <sheetName val="Composição"/>
      <sheetName val="Memória de cálculo - Composição"/>
      <sheetName val="BDI"/>
      <sheetName val="Cronograma"/>
    </sheetNames>
    <sheetDataSet>
      <sheetData sheetId="0"/>
      <sheetData sheetId="1"/>
      <sheetData sheetId="2">
        <row r="21">
          <cell r="F21" t="str">
            <v>M3</v>
          </cell>
        </row>
        <row r="22">
          <cell r="F22" t="str">
            <v>M2</v>
          </cell>
        </row>
        <row r="24">
          <cell r="F24" t="str">
            <v>M2</v>
          </cell>
        </row>
        <row r="25">
          <cell r="F25" t="str">
            <v>KG</v>
          </cell>
        </row>
        <row r="26">
          <cell r="F26" t="str">
            <v>M3</v>
          </cell>
        </row>
        <row r="56">
          <cell r="F56" t="str">
            <v>Unidade</v>
          </cell>
        </row>
        <row r="57">
          <cell r="F57" t="str">
            <v>M3</v>
          </cell>
        </row>
        <row r="59">
          <cell r="F59" t="str">
            <v>H</v>
          </cell>
        </row>
        <row r="60">
          <cell r="F60" t="str">
            <v>H</v>
          </cell>
        </row>
      </sheetData>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ORÇAMENTÁRIA"/>
      <sheetName val="MEMÓRIA DE CÁLCULO"/>
      <sheetName val="COMPOSIÇÃO"/>
      <sheetName val="BDI"/>
      <sheetName val="CRONOGRAMA"/>
    </sheetNames>
    <sheetDataSet>
      <sheetData sheetId="0">
        <row r="4">
          <cell r="A4" t="str">
            <v>OBRA POR EXECUÇÃO INDIRETA</v>
          </cell>
        </row>
        <row r="5">
          <cell r="A5" t="str">
            <v>Setor requisitante: Secretaria Municipal de Obras e Serviços Urbanos</v>
          </cell>
        </row>
        <row r="6">
          <cell r="A6" t="str">
            <v>Objeto:</v>
          </cell>
        </row>
      </sheetData>
      <sheetData sheetId="1"/>
      <sheetData sheetId="2"/>
      <sheetData sheetId="3"/>
      <sheetData sheetId="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7"/>
  <sheetViews>
    <sheetView view="pageBreakPreview" zoomScaleNormal="100" zoomScaleSheetLayoutView="100" workbookViewId="0">
      <selection activeCell="D18" sqref="D18"/>
    </sheetView>
  </sheetViews>
  <sheetFormatPr defaultRowHeight="16.5" customHeight="1" x14ac:dyDescent="0.25"/>
  <cols>
    <col min="1" max="1" width="7.85546875" style="13" customWidth="1"/>
    <col min="2" max="3" width="12.7109375" style="12" customWidth="1"/>
    <col min="4" max="4" width="100" style="12" customWidth="1"/>
    <col min="5" max="6" width="12.7109375" style="12" customWidth="1"/>
    <col min="7" max="8" width="15" style="12" customWidth="1"/>
    <col min="9" max="9" width="17.5703125" style="12" customWidth="1"/>
    <col min="10" max="16" width="15" style="12" customWidth="1"/>
    <col min="17" max="16384" width="9.140625" style="12"/>
  </cols>
  <sheetData>
    <row r="1" spans="1:17" s="1" customFormat="1" ht="16.5" customHeight="1" x14ac:dyDescent="0.25">
      <c r="A1" s="153" t="s">
        <v>25</v>
      </c>
      <c r="B1" s="153"/>
      <c r="C1" s="153"/>
      <c r="D1" s="153"/>
      <c r="E1" s="153"/>
      <c r="F1" s="153"/>
      <c r="G1" s="153"/>
      <c r="H1" s="153"/>
      <c r="I1" s="153"/>
      <c r="K1" s="7"/>
      <c r="Q1" s="13">
        <v>1</v>
      </c>
    </row>
    <row r="2" spans="1:17" s="1" customFormat="1" ht="16.5" customHeight="1" x14ac:dyDescent="0.25">
      <c r="A2" s="153"/>
      <c r="B2" s="153"/>
      <c r="C2" s="153"/>
      <c r="D2" s="153"/>
      <c r="E2" s="153"/>
      <c r="F2" s="153"/>
      <c r="G2" s="153"/>
      <c r="H2" s="153"/>
      <c r="I2" s="153"/>
      <c r="K2" s="7"/>
      <c r="Q2" s="13">
        <v>2</v>
      </c>
    </row>
    <row r="3" spans="1:17" s="1" customFormat="1" ht="12" customHeight="1" x14ac:dyDescent="0.25">
      <c r="A3" s="153"/>
      <c r="B3" s="153"/>
      <c r="C3" s="153"/>
      <c r="D3" s="153"/>
      <c r="E3" s="153"/>
      <c r="F3" s="153"/>
      <c r="G3" s="153"/>
      <c r="H3" s="153"/>
      <c r="I3" s="153"/>
      <c r="K3" s="7"/>
      <c r="Q3" s="13">
        <v>3</v>
      </c>
    </row>
    <row r="4" spans="1:17" s="1" customFormat="1" ht="16.5" customHeight="1" x14ac:dyDescent="0.25">
      <c r="A4" s="152" t="s">
        <v>0</v>
      </c>
      <c r="B4" s="152"/>
      <c r="C4" s="152"/>
      <c r="D4" s="152"/>
      <c r="E4" s="152"/>
      <c r="F4" s="152"/>
      <c r="G4" s="152"/>
      <c r="H4" s="152"/>
      <c r="I4" s="152"/>
      <c r="K4" s="7"/>
      <c r="Q4" s="13">
        <v>4</v>
      </c>
    </row>
    <row r="5" spans="1:17" s="1" customFormat="1" ht="16.5" customHeight="1" x14ac:dyDescent="0.25">
      <c r="A5" s="154" t="s">
        <v>26</v>
      </c>
      <c r="B5" s="154"/>
      <c r="C5" s="154"/>
      <c r="D5" s="154"/>
      <c r="E5" s="154"/>
      <c r="F5" s="154"/>
      <c r="G5" s="154"/>
      <c r="H5" s="154"/>
      <c r="I5" s="154"/>
      <c r="K5" s="7"/>
      <c r="Q5" s="13">
        <v>5</v>
      </c>
    </row>
    <row r="6" spans="1:17" s="1" customFormat="1" ht="16.5" customHeight="1" x14ac:dyDescent="0.25">
      <c r="A6" s="155" t="s">
        <v>1</v>
      </c>
      <c r="B6" s="155"/>
      <c r="C6" s="159" t="s">
        <v>399</v>
      </c>
      <c r="D6" s="160"/>
      <c r="E6" s="160"/>
      <c r="F6" s="161"/>
      <c r="G6" s="156" t="s">
        <v>2</v>
      </c>
      <c r="H6" s="157">
        <f>BDI!J27</f>
        <v>0.30380000000000001</v>
      </c>
      <c r="I6" s="158">
        <f ca="1">TODAY()</f>
        <v>44887</v>
      </c>
      <c r="K6" s="7"/>
      <c r="Q6" s="13">
        <v>6</v>
      </c>
    </row>
    <row r="7" spans="1:17" s="1" customFormat="1" ht="16.5" customHeight="1" x14ac:dyDescent="0.25">
      <c r="A7" s="155"/>
      <c r="B7" s="155"/>
      <c r="C7" s="162"/>
      <c r="D7" s="163"/>
      <c r="E7" s="163"/>
      <c r="F7" s="164"/>
      <c r="G7" s="156"/>
      <c r="H7" s="157"/>
      <c r="I7" s="158"/>
      <c r="J7" s="4"/>
      <c r="K7" s="7"/>
      <c r="Q7" s="13">
        <v>7</v>
      </c>
    </row>
    <row r="8" spans="1:17" s="1" customFormat="1" ht="16.5" customHeight="1" x14ac:dyDescent="0.25">
      <c r="A8" s="152" t="s">
        <v>3</v>
      </c>
      <c r="B8" s="152"/>
      <c r="C8" s="152"/>
      <c r="D8" s="152"/>
      <c r="E8" s="152"/>
      <c r="F8" s="152"/>
      <c r="G8" s="152"/>
      <c r="H8" s="152"/>
      <c r="I8" s="152"/>
      <c r="K8" s="7"/>
      <c r="Q8" s="13">
        <v>8</v>
      </c>
    </row>
    <row r="9" spans="1:17" s="1" customFormat="1" ht="25.5" customHeight="1" x14ac:dyDescent="0.25">
      <c r="A9" s="10" t="s">
        <v>4</v>
      </c>
      <c r="B9" s="11" t="s">
        <v>5</v>
      </c>
      <c r="C9" s="11" t="s">
        <v>72</v>
      </c>
      <c r="D9" s="10" t="s">
        <v>6</v>
      </c>
      <c r="E9" s="2" t="s">
        <v>7</v>
      </c>
      <c r="F9" s="10" t="s">
        <v>20</v>
      </c>
      <c r="G9" s="3" t="s">
        <v>8</v>
      </c>
      <c r="H9" s="3" t="s">
        <v>9</v>
      </c>
      <c r="I9" s="6" t="s">
        <v>10</v>
      </c>
      <c r="K9" s="7"/>
      <c r="Q9" s="13">
        <v>9</v>
      </c>
    </row>
    <row r="10" spans="1:17" s="1" customFormat="1" ht="16.5" customHeight="1" x14ac:dyDescent="0.25">
      <c r="A10" s="46">
        <v>1</v>
      </c>
      <c r="B10" s="46" t="s">
        <v>73</v>
      </c>
      <c r="C10" s="46" t="s">
        <v>73</v>
      </c>
      <c r="D10" s="139" t="s">
        <v>34</v>
      </c>
      <c r="E10" s="139"/>
      <c r="F10" s="139"/>
      <c r="G10" s="139"/>
      <c r="H10" s="139"/>
      <c r="I10" s="139"/>
      <c r="K10" s="7"/>
      <c r="Q10" s="13">
        <v>11</v>
      </c>
    </row>
    <row r="11" spans="1:17" s="1" customFormat="1" ht="25.5" customHeight="1" x14ac:dyDescent="0.25">
      <c r="A11" s="15" t="str">
        <f>$A$10&amp;"."&amp;Q1</f>
        <v>1.1</v>
      </c>
      <c r="B11" s="65" t="s">
        <v>327</v>
      </c>
      <c r="C11" s="30" t="s">
        <v>174</v>
      </c>
      <c r="D11" s="26" t="s">
        <v>326</v>
      </c>
      <c r="E11" s="39">
        <f>'Mem. Cálc. - P.O'!J18</f>
        <v>1</v>
      </c>
      <c r="F11" s="8" t="s">
        <v>35</v>
      </c>
      <c r="G11" s="27">
        <f>'Mem. Cálc. - P.O'!H13</f>
        <v>3969.1</v>
      </c>
      <c r="H11" s="27">
        <f>G11+G11*H6</f>
        <v>5174.91</v>
      </c>
      <c r="I11" s="27">
        <f>E11*H11</f>
        <v>5174.91</v>
      </c>
      <c r="K11" s="43"/>
      <c r="Q11" s="13">
        <v>12</v>
      </c>
    </row>
    <row r="12" spans="1:17" s="1" customFormat="1" ht="16.5" customHeight="1" x14ac:dyDescent="0.25">
      <c r="A12" s="140" t="str">
        <f>"TOTAL (Item "&amp;A10&amp;"):"</f>
        <v>TOTAL (Item 1):</v>
      </c>
      <c r="B12" s="140"/>
      <c r="C12" s="140"/>
      <c r="D12" s="140"/>
      <c r="E12" s="140"/>
      <c r="F12" s="140"/>
      <c r="G12" s="140"/>
      <c r="H12" s="140"/>
      <c r="I12" s="48">
        <f>SUM(I11:I11)</f>
        <v>5174.91</v>
      </c>
      <c r="K12" s="43"/>
      <c r="L12" s="44"/>
      <c r="Q12" s="13">
        <v>13</v>
      </c>
    </row>
    <row r="13" spans="1:17" s="1" customFormat="1" ht="16.5" customHeight="1" x14ac:dyDescent="0.25">
      <c r="A13" s="46">
        <v>2</v>
      </c>
      <c r="B13" s="46" t="s">
        <v>73</v>
      </c>
      <c r="C13" s="46" t="s">
        <v>73</v>
      </c>
      <c r="D13" s="139" t="s">
        <v>36</v>
      </c>
      <c r="E13" s="139"/>
      <c r="F13" s="139"/>
      <c r="G13" s="139"/>
      <c r="H13" s="139"/>
      <c r="I13" s="139"/>
      <c r="K13" s="43"/>
      <c r="L13" s="44"/>
      <c r="Q13" s="13">
        <v>14</v>
      </c>
    </row>
    <row r="14" spans="1:17" s="1" customFormat="1" ht="38.25" customHeight="1" x14ac:dyDescent="0.25">
      <c r="A14" s="15" t="str">
        <f>$A$13&amp;"."&amp;Q1</f>
        <v>2.1</v>
      </c>
      <c r="B14" s="65" t="s">
        <v>166</v>
      </c>
      <c r="C14" s="30" t="s">
        <v>174</v>
      </c>
      <c r="D14" s="26" t="s">
        <v>164</v>
      </c>
      <c r="E14" s="39">
        <f>'Mem. Cálc. - P.O'!J23</f>
        <v>1</v>
      </c>
      <c r="F14" s="8" t="s">
        <v>30</v>
      </c>
      <c r="G14" s="27">
        <v>1224.69</v>
      </c>
      <c r="H14" s="27">
        <f>(G14+(G14*$H$6))</f>
        <v>1596.75</v>
      </c>
      <c r="I14" s="27">
        <f t="shared" ref="I14:I18" si="0">E14*H14</f>
        <v>1596.75</v>
      </c>
      <c r="K14" s="43"/>
      <c r="Q14" s="13">
        <v>15</v>
      </c>
    </row>
    <row r="15" spans="1:17" s="1" customFormat="1" ht="25.5" customHeight="1" x14ac:dyDescent="0.25">
      <c r="A15" s="15" t="str">
        <f>$A$13&amp;"."&amp;Q2</f>
        <v>2.2</v>
      </c>
      <c r="B15" s="65" t="s">
        <v>167</v>
      </c>
      <c r="C15" s="30" t="s">
        <v>174</v>
      </c>
      <c r="D15" s="26" t="s">
        <v>141</v>
      </c>
      <c r="E15" s="39">
        <f>'Mem. Cálc. - P.O'!J27</f>
        <v>4</v>
      </c>
      <c r="F15" s="8" t="s">
        <v>66</v>
      </c>
      <c r="G15" s="27">
        <v>800</v>
      </c>
      <c r="H15" s="27">
        <f t="shared" ref="H15:H18" si="1">(G15+(G15*$H$6))</f>
        <v>1043.04</v>
      </c>
      <c r="I15" s="27">
        <f t="shared" si="0"/>
        <v>4172.16</v>
      </c>
      <c r="K15" s="7"/>
      <c r="N15" s="1">
        <f>L15*M15</f>
        <v>0</v>
      </c>
      <c r="Q15" s="13"/>
    </row>
    <row r="16" spans="1:17" s="1" customFormat="1" ht="38.25" customHeight="1" x14ac:dyDescent="0.25">
      <c r="A16" s="15" t="str">
        <f>$A$13&amp;"."&amp;Q3</f>
        <v>2.3</v>
      </c>
      <c r="B16" s="65" t="s">
        <v>65</v>
      </c>
      <c r="C16" s="30" t="s">
        <v>174</v>
      </c>
      <c r="D16" s="26" t="s">
        <v>142</v>
      </c>
      <c r="E16" s="39">
        <f>'Mem. Cálc. - P.O'!J31</f>
        <v>4</v>
      </c>
      <c r="F16" s="8" t="s">
        <v>66</v>
      </c>
      <c r="G16" s="27">
        <v>681.13</v>
      </c>
      <c r="H16" s="27">
        <f t="shared" si="1"/>
        <v>888.06</v>
      </c>
      <c r="I16" s="27">
        <f t="shared" si="0"/>
        <v>3552.24</v>
      </c>
      <c r="K16" s="7">
        <f>384205</f>
        <v>384205</v>
      </c>
      <c r="L16" s="1">
        <f>K16*0.0085</f>
        <v>3265.7424999999998</v>
      </c>
      <c r="N16" s="1">
        <f>L16*M16</f>
        <v>0</v>
      </c>
      <c r="Q16" s="13"/>
    </row>
    <row r="17" spans="1:17" s="1" customFormat="1" ht="25.5" customHeight="1" x14ac:dyDescent="0.25">
      <c r="A17" s="15" t="str">
        <f>$A$13&amp;"."&amp;Q4</f>
        <v>2.4</v>
      </c>
      <c r="B17" s="65" t="s">
        <v>74</v>
      </c>
      <c r="C17" s="30" t="s">
        <v>174</v>
      </c>
      <c r="D17" s="26" t="s">
        <v>75</v>
      </c>
      <c r="E17" s="39">
        <f>'Mem. Cálc. - P.O'!J35</f>
        <v>1</v>
      </c>
      <c r="F17" s="8" t="s">
        <v>30</v>
      </c>
      <c r="G17" s="27">
        <v>312.5</v>
      </c>
      <c r="H17" s="27">
        <f t="shared" si="1"/>
        <v>407.44</v>
      </c>
      <c r="I17" s="27">
        <f t="shared" si="0"/>
        <v>407.44</v>
      </c>
      <c r="K17" s="67">
        <f>(I12+I19)/K16</f>
        <v>4.1200000000000001E-2</v>
      </c>
      <c r="L17" s="66">
        <f>K17*100</f>
        <v>4.12</v>
      </c>
      <c r="N17" s="44">
        <f>SUM(N15:N16)</f>
        <v>0</v>
      </c>
      <c r="Q17" s="13"/>
    </row>
    <row r="18" spans="1:17" s="1" customFormat="1" ht="25.5" customHeight="1" x14ac:dyDescent="0.25">
      <c r="A18" s="15" t="str">
        <f>$A$13&amp;"."&amp;Q5</f>
        <v>2.5</v>
      </c>
      <c r="B18" s="65" t="s">
        <v>168</v>
      </c>
      <c r="C18" s="30" t="s">
        <v>174</v>
      </c>
      <c r="D18" s="26" t="s">
        <v>76</v>
      </c>
      <c r="E18" s="39">
        <f>'Mem. Cálc. - P.O'!J40</f>
        <v>1</v>
      </c>
      <c r="F18" s="8" t="s">
        <v>30</v>
      </c>
      <c r="G18" s="27">
        <v>700.55</v>
      </c>
      <c r="H18" s="27">
        <f t="shared" si="1"/>
        <v>913.38</v>
      </c>
      <c r="I18" s="27">
        <f t="shared" si="0"/>
        <v>913.38</v>
      </c>
      <c r="K18" s="7"/>
      <c r="Q18" s="13"/>
    </row>
    <row r="19" spans="1:17" s="1" customFormat="1" ht="16.5" customHeight="1" x14ac:dyDescent="0.25">
      <c r="A19" s="140" t="str">
        <f>"TOTAL (Item "&amp;A13&amp;"):"</f>
        <v>TOTAL (Item 2):</v>
      </c>
      <c r="B19" s="140"/>
      <c r="C19" s="140"/>
      <c r="D19" s="140"/>
      <c r="E19" s="140"/>
      <c r="F19" s="140"/>
      <c r="G19" s="140"/>
      <c r="H19" s="140"/>
      <c r="I19" s="48">
        <f>SUM(I14:I18)</f>
        <v>10641.97</v>
      </c>
      <c r="K19" s="7"/>
      <c r="Q19" s="13">
        <v>16</v>
      </c>
    </row>
    <row r="20" spans="1:17" s="1" customFormat="1" ht="16.5" customHeight="1" x14ac:dyDescent="0.25">
      <c r="A20" s="31">
        <v>3</v>
      </c>
      <c r="B20" s="32" t="s">
        <v>73</v>
      </c>
      <c r="C20" s="46" t="s">
        <v>73</v>
      </c>
      <c r="D20" s="144" t="s">
        <v>77</v>
      </c>
      <c r="E20" s="144"/>
      <c r="F20" s="144"/>
      <c r="G20" s="144"/>
      <c r="H20" s="144"/>
      <c r="I20" s="144"/>
      <c r="K20" s="7"/>
      <c r="L20" s="29"/>
      <c r="M20" s="29"/>
      <c r="Q20" s="13"/>
    </row>
    <row r="21" spans="1:17" s="9" customFormat="1" ht="25.5" customHeight="1" x14ac:dyDescent="0.2">
      <c r="A21" s="15" t="s">
        <v>79</v>
      </c>
      <c r="B21" s="35" t="s">
        <v>181</v>
      </c>
      <c r="C21" s="30" t="s">
        <v>174</v>
      </c>
      <c r="D21" s="26" t="s">
        <v>178</v>
      </c>
      <c r="E21" s="5">
        <f>'Mem. Cálc. - P.O'!J45</f>
        <v>88</v>
      </c>
      <c r="F21" s="14" t="s">
        <v>33</v>
      </c>
      <c r="G21" s="27">
        <v>84.49</v>
      </c>
      <c r="H21" s="27">
        <f t="shared" ref="H21:H24" si="2">(G21+(G21*$H$6))</f>
        <v>110.16</v>
      </c>
      <c r="I21" s="27">
        <f t="shared" ref="I21:I24" si="3">E21*H21</f>
        <v>9694.08</v>
      </c>
    </row>
    <row r="22" spans="1:17" s="9" customFormat="1" ht="25.5" customHeight="1" x14ac:dyDescent="0.2">
      <c r="A22" s="15" t="s">
        <v>175</v>
      </c>
      <c r="B22" s="35" t="s">
        <v>179</v>
      </c>
      <c r="C22" s="30" t="s">
        <v>174</v>
      </c>
      <c r="D22" s="26" t="s">
        <v>78</v>
      </c>
      <c r="E22" s="5">
        <f>'Mem. Cálc. - P.O'!J49</f>
        <v>4</v>
      </c>
      <c r="F22" s="8" t="s">
        <v>66</v>
      </c>
      <c r="G22" s="27">
        <v>6136.54</v>
      </c>
      <c r="H22" s="27">
        <f t="shared" si="2"/>
        <v>8000.82</v>
      </c>
      <c r="I22" s="27">
        <f t="shared" si="3"/>
        <v>32003.279999999999</v>
      </c>
    </row>
    <row r="23" spans="1:17" s="9" customFormat="1" ht="25.5" customHeight="1" x14ac:dyDescent="0.2">
      <c r="A23" s="15" t="s">
        <v>176</v>
      </c>
      <c r="B23" s="35">
        <v>90781</v>
      </c>
      <c r="C23" s="30" t="s">
        <v>192</v>
      </c>
      <c r="D23" s="26" t="s">
        <v>180</v>
      </c>
      <c r="E23" s="5">
        <f>'Mem. Cálc. - P.O'!J53</f>
        <v>44</v>
      </c>
      <c r="F23" s="14" t="s">
        <v>33</v>
      </c>
      <c r="G23" s="27">
        <v>35.44</v>
      </c>
      <c r="H23" s="27">
        <f t="shared" si="2"/>
        <v>46.21</v>
      </c>
      <c r="I23" s="27">
        <f t="shared" si="3"/>
        <v>2033.24</v>
      </c>
    </row>
    <row r="24" spans="1:17" s="9" customFormat="1" ht="25.5" customHeight="1" x14ac:dyDescent="0.2">
      <c r="A24" s="15" t="s">
        <v>177</v>
      </c>
      <c r="B24" s="35">
        <v>88253</v>
      </c>
      <c r="C24" s="30" t="s">
        <v>192</v>
      </c>
      <c r="D24" s="26" t="s">
        <v>90</v>
      </c>
      <c r="E24" s="5">
        <f>'Mem. Cálc. - P.O'!J57</f>
        <v>44</v>
      </c>
      <c r="F24" s="14" t="s">
        <v>33</v>
      </c>
      <c r="G24" s="27">
        <v>16.8</v>
      </c>
      <c r="H24" s="27">
        <f t="shared" si="2"/>
        <v>21.9</v>
      </c>
      <c r="I24" s="27">
        <f t="shared" si="3"/>
        <v>963.6</v>
      </c>
    </row>
    <row r="25" spans="1:17" s="1" customFormat="1" ht="16.5" customHeight="1" x14ac:dyDescent="0.25">
      <c r="A25" s="165" t="str">
        <f>"TOTAL (Item "&amp;A20&amp;")"</f>
        <v>TOTAL (Item 3)</v>
      </c>
      <c r="B25" s="165"/>
      <c r="C25" s="165"/>
      <c r="D25" s="165"/>
      <c r="E25" s="165"/>
      <c r="F25" s="165"/>
      <c r="G25" s="165"/>
      <c r="H25" s="165"/>
      <c r="I25" s="48">
        <f>SUM(I21:I24)</f>
        <v>44694.2</v>
      </c>
      <c r="K25" s="7"/>
      <c r="L25" s="29"/>
      <c r="M25" s="29"/>
      <c r="Q25" s="13"/>
    </row>
    <row r="26" spans="1:17" s="1" customFormat="1" ht="16.5" customHeight="1" x14ac:dyDescent="0.25">
      <c r="A26" s="31">
        <v>4</v>
      </c>
      <c r="B26" s="32" t="s">
        <v>73</v>
      </c>
      <c r="C26" s="46" t="s">
        <v>73</v>
      </c>
      <c r="D26" s="144" t="s">
        <v>80</v>
      </c>
      <c r="E26" s="144"/>
      <c r="F26" s="144"/>
      <c r="G26" s="144"/>
      <c r="H26" s="144"/>
      <c r="I26" s="144"/>
      <c r="K26" s="7"/>
      <c r="L26" s="29"/>
      <c r="M26" s="29"/>
      <c r="Q26" s="13"/>
    </row>
    <row r="27" spans="1:17" s="1" customFormat="1" ht="25.5" customHeight="1" x14ac:dyDescent="0.25">
      <c r="A27" s="33" t="s">
        <v>116</v>
      </c>
      <c r="B27" s="65" t="s">
        <v>148</v>
      </c>
      <c r="C27" s="30" t="s">
        <v>174</v>
      </c>
      <c r="D27" s="26" t="s">
        <v>147</v>
      </c>
      <c r="E27" s="39">
        <f>'Mem. Cálc. - P.O'!J63</f>
        <v>2.64</v>
      </c>
      <c r="F27" s="8" t="s">
        <v>28</v>
      </c>
      <c r="G27" s="27">
        <v>464.54</v>
      </c>
      <c r="H27" s="27">
        <f>(G27+(G27*$H$6))</f>
        <v>605.66999999999996</v>
      </c>
      <c r="I27" s="27">
        <f t="shared" ref="I27:I28" si="4">E27*H27</f>
        <v>1598.97</v>
      </c>
      <c r="J27" s="42"/>
      <c r="K27" s="7"/>
      <c r="L27" s="29"/>
      <c r="M27" s="29"/>
      <c r="Q27" s="13"/>
    </row>
    <row r="28" spans="1:17" s="1" customFormat="1" ht="25.5" customHeight="1" x14ac:dyDescent="0.25">
      <c r="A28" s="33" t="s">
        <v>129</v>
      </c>
      <c r="B28" s="65" t="s">
        <v>169</v>
      </c>
      <c r="C28" s="30" t="s">
        <v>174</v>
      </c>
      <c r="D28" s="26" t="s">
        <v>146</v>
      </c>
      <c r="E28" s="39">
        <f>'Mem. Cálc. - P.O'!J71</f>
        <v>10</v>
      </c>
      <c r="F28" s="8" t="s">
        <v>30</v>
      </c>
      <c r="G28" s="27">
        <v>4.17</v>
      </c>
      <c r="H28" s="27">
        <f>(G28+(G28*$H$6))</f>
        <v>5.44</v>
      </c>
      <c r="I28" s="27">
        <f t="shared" si="4"/>
        <v>54.4</v>
      </c>
      <c r="K28" s="7"/>
      <c r="L28" s="29"/>
      <c r="M28" s="29"/>
      <c r="Q28" s="13"/>
    </row>
    <row r="29" spans="1:17" s="1" customFormat="1" ht="16.5" customHeight="1" x14ac:dyDescent="0.25">
      <c r="A29" s="165" t="str">
        <f>"TOTAL (Item "&amp;A26&amp;")"</f>
        <v>TOTAL (Item 4)</v>
      </c>
      <c r="B29" s="165"/>
      <c r="C29" s="165"/>
      <c r="D29" s="165"/>
      <c r="E29" s="165"/>
      <c r="F29" s="165"/>
      <c r="G29" s="165"/>
      <c r="H29" s="165"/>
      <c r="I29" s="48">
        <f>SUM(I27:I28)</f>
        <v>1653.37</v>
      </c>
      <c r="K29" s="7"/>
      <c r="L29" s="29"/>
      <c r="M29" s="29"/>
      <c r="Q29" s="13"/>
    </row>
    <row r="30" spans="1:17" ht="16.5" customHeight="1" x14ac:dyDescent="0.25">
      <c r="A30" s="46">
        <v>5</v>
      </c>
      <c r="B30" s="32" t="s">
        <v>73</v>
      </c>
      <c r="C30" s="46" t="s">
        <v>73</v>
      </c>
      <c r="D30" s="139" t="s">
        <v>67</v>
      </c>
      <c r="E30" s="139"/>
      <c r="F30" s="139"/>
      <c r="G30" s="139"/>
      <c r="H30" s="139"/>
      <c r="I30" s="139"/>
    </row>
    <row r="31" spans="1:17" ht="25.5" customHeight="1" x14ac:dyDescent="0.25">
      <c r="A31" s="33" t="s">
        <v>149</v>
      </c>
      <c r="B31" s="38">
        <v>90107</v>
      </c>
      <c r="C31" s="30" t="s">
        <v>192</v>
      </c>
      <c r="D31" s="26" t="s">
        <v>68</v>
      </c>
      <c r="E31" s="39">
        <f>'Mem. Cálc. - P.O'!J106</f>
        <v>1363.07</v>
      </c>
      <c r="F31" s="8" t="s">
        <v>29</v>
      </c>
      <c r="G31" s="27">
        <v>7</v>
      </c>
      <c r="H31" s="27">
        <f t="shared" ref="H31:H38" si="5">(G31+(G31*$H$6))</f>
        <v>9.1300000000000008</v>
      </c>
      <c r="I31" s="27">
        <f>E31*H31</f>
        <v>12444.83</v>
      </c>
    </row>
    <row r="32" spans="1:17" ht="25.5" customHeight="1" x14ac:dyDescent="0.25">
      <c r="A32" s="33" t="s">
        <v>150</v>
      </c>
      <c r="B32" s="38">
        <v>101616</v>
      </c>
      <c r="C32" s="30" t="s">
        <v>192</v>
      </c>
      <c r="D32" s="26" t="s">
        <v>145</v>
      </c>
      <c r="E32" s="39">
        <f>'Mem. Cálc. - P.O'!J140</f>
        <v>603.12</v>
      </c>
      <c r="F32" s="8" t="s">
        <v>28</v>
      </c>
      <c r="G32" s="27">
        <v>4.95</v>
      </c>
      <c r="H32" s="27">
        <f t="shared" si="5"/>
        <v>6.45</v>
      </c>
      <c r="I32" s="27">
        <f t="shared" ref="I32:I38" si="6">E32*H32</f>
        <v>3890.12</v>
      </c>
    </row>
    <row r="33" spans="1:17" ht="25.5" customHeight="1" x14ac:dyDescent="0.25">
      <c r="A33" s="33" t="s">
        <v>151</v>
      </c>
      <c r="B33" s="38">
        <v>92210</v>
      </c>
      <c r="C33" s="30" t="s">
        <v>192</v>
      </c>
      <c r="D33" s="26" t="s">
        <v>69</v>
      </c>
      <c r="E33" s="39">
        <f>'Mem. Cálc. - P.O'!J164</f>
        <v>251.81</v>
      </c>
      <c r="F33" s="8" t="s">
        <v>31</v>
      </c>
      <c r="G33" s="27">
        <v>174.07</v>
      </c>
      <c r="H33" s="27">
        <f t="shared" si="5"/>
        <v>226.95</v>
      </c>
      <c r="I33" s="27">
        <f t="shared" si="6"/>
        <v>57148.28</v>
      </c>
    </row>
    <row r="34" spans="1:17" ht="25.5" customHeight="1" x14ac:dyDescent="0.25">
      <c r="A34" s="33" t="s">
        <v>152</v>
      </c>
      <c r="B34" s="38">
        <v>92212</v>
      </c>
      <c r="C34" s="30" t="s">
        <v>192</v>
      </c>
      <c r="D34" s="26" t="s">
        <v>71</v>
      </c>
      <c r="E34" s="39">
        <f>'Mem. Cálc. - P.O'!J179</f>
        <v>474.26</v>
      </c>
      <c r="F34" s="8" t="s">
        <v>31</v>
      </c>
      <c r="G34" s="27">
        <v>312.58999999999997</v>
      </c>
      <c r="H34" s="27">
        <f t="shared" si="5"/>
        <v>407.55</v>
      </c>
      <c r="I34" s="27">
        <f t="shared" si="6"/>
        <v>193284.66</v>
      </c>
    </row>
    <row r="35" spans="1:17" ht="25.5" customHeight="1" x14ac:dyDescent="0.25">
      <c r="A35" s="33" t="s">
        <v>153</v>
      </c>
      <c r="B35" s="38">
        <v>93382</v>
      </c>
      <c r="C35" s="30" t="s">
        <v>192</v>
      </c>
      <c r="D35" s="26" t="s">
        <v>70</v>
      </c>
      <c r="E35" s="39">
        <f>'Mem. Cálc. - P.O'!J216</f>
        <v>1129.8599999999999</v>
      </c>
      <c r="F35" s="8" t="s">
        <v>29</v>
      </c>
      <c r="G35" s="27">
        <v>27.39</v>
      </c>
      <c r="H35" s="27">
        <f t="shared" si="5"/>
        <v>35.71</v>
      </c>
      <c r="I35" s="27">
        <f t="shared" si="6"/>
        <v>40347.300000000003</v>
      </c>
    </row>
    <row r="36" spans="1:17" s="98" customFormat="1" ht="51" customHeight="1" x14ac:dyDescent="0.2">
      <c r="A36" s="33" t="s">
        <v>154</v>
      </c>
      <c r="B36" s="65" t="str">
        <f>"COMP-PMNE-00"&amp;'C.P.U.'!A9</f>
        <v>COMP-PMNE-001</v>
      </c>
      <c r="C36" s="65" t="str">
        <f>"COMP-PMNE-00"&amp;'C.P.U.'!A9</f>
        <v>COMP-PMNE-001</v>
      </c>
      <c r="D36" s="26" t="s">
        <v>195</v>
      </c>
      <c r="E36" s="39">
        <f>'Mem. Cálc. - P.O'!J230</f>
        <v>9</v>
      </c>
      <c r="F36" s="8" t="s">
        <v>30</v>
      </c>
      <c r="G36" s="8">
        <f>'C.P.U.'!I9</f>
        <v>5853.28</v>
      </c>
      <c r="H36" s="8">
        <f t="shared" si="5"/>
        <v>7631.51</v>
      </c>
      <c r="I36" s="8">
        <f t="shared" si="6"/>
        <v>68683.59</v>
      </c>
      <c r="O36" s="99">
        <v>48</v>
      </c>
    </row>
    <row r="37" spans="1:17" s="98" customFormat="1" ht="40.5" customHeight="1" x14ac:dyDescent="0.2">
      <c r="A37" s="33" t="s">
        <v>193</v>
      </c>
      <c r="B37" s="65" t="str">
        <f>"COMP-PMNE-00"&amp;'C.P.U.'!A30</f>
        <v>COMP-PMNE-003</v>
      </c>
      <c r="C37" s="65" t="str">
        <f>"COMP-PMNE-00"&amp;'C.P.U.'!A30</f>
        <v>COMP-PMNE-003</v>
      </c>
      <c r="D37" s="26" t="s">
        <v>254</v>
      </c>
      <c r="E37" s="39">
        <f>'Mem. Cálc. - P.O'!J237</f>
        <v>2</v>
      </c>
      <c r="F37" s="8" t="s">
        <v>30</v>
      </c>
      <c r="G37" s="8">
        <f>'C.P.U.'!I30</f>
        <v>5634.74</v>
      </c>
      <c r="H37" s="8">
        <f t="shared" si="5"/>
        <v>7346.57</v>
      </c>
      <c r="I37" s="8">
        <f t="shared" si="6"/>
        <v>14693.14</v>
      </c>
      <c r="O37" s="99"/>
    </row>
    <row r="38" spans="1:17" ht="51" customHeight="1" x14ac:dyDescent="0.25">
      <c r="A38" s="33" t="s">
        <v>251</v>
      </c>
      <c r="B38" s="65" t="s">
        <v>170</v>
      </c>
      <c r="C38" s="30" t="s">
        <v>174</v>
      </c>
      <c r="D38" s="26" t="s">
        <v>136</v>
      </c>
      <c r="E38" s="39">
        <f>'Mem. Cálc. - P.O'!J244</f>
        <v>17</v>
      </c>
      <c r="F38" s="8" t="s">
        <v>30</v>
      </c>
      <c r="G38" s="27">
        <v>2313.86</v>
      </c>
      <c r="H38" s="27">
        <f t="shared" si="5"/>
        <v>3016.81</v>
      </c>
      <c r="I38" s="27">
        <f t="shared" si="6"/>
        <v>51285.77</v>
      </c>
    </row>
    <row r="39" spans="1:17" ht="16.5" customHeight="1" x14ac:dyDescent="0.25">
      <c r="A39" s="140" t="str">
        <f>"TOTAL (Item "&amp;A30&amp;"):"</f>
        <v>TOTAL (Item 5):</v>
      </c>
      <c r="B39" s="140"/>
      <c r="C39" s="140"/>
      <c r="D39" s="140"/>
      <c r="E39" s="140"/>
      <c r="F39" s="140"/>
      <c r="G39" s="140"/>
      <c r="H39" s="140"/>
      <c r="I39" s="48">
        <f>SUM(I31:I38)</f>
        <v>441777.69</v>
      </c>
    </row>
    <row r="40" spans="1:17" s="1" customFormat="1" ht="16.5" customHeight="1" x14ac:dyDescent="0.25">
      <c r="A40" s="31">
        <v>6</v>
      </c>
      <c r="B40" s="32" t="s">
        <v>73</v>
      </c>
      <c r="C40" s="46" t="s">
        <v>73</v>
      </c>
      <c r="D40" s="144" t="s">
        <v>48</v>
      </c>
      <c r="E40" s="144"/>
      <c r="F40" s="144"/>
      <c r="G40" s="144"/>
      <c r="H40" s="144"/>
      <c r="I40" s="144"/>
      <c r="K40" s="7"/>
      <c r="L40" s="29"/>
      <c r="M40" s="29"/>
      <c r="Q40" s="13"/>
    </row>
    <row r="41" spans="1:17" ht="25.5" customHeight="1" x14ac:dyDescent="0.25">
      <c r="A41" s="15" t="s">
        <v>155</v>
      </c>
      <c r="B41" s="65" t="s">
        <v>276</v>
      </c>
      <c r="C41" s="30" t="s">
        <v>174</v>
      </c>
      <c r="D41" s="26" t="s">
        <v>277</v>
      </c>
      <c r="E41" s="39">
        <f>'Mem. Cálc. - P.O'!J249</f>
        <v>2</v>
      </c>
      <c r="F41" s="8" t="s">
        <v>30</v>
      </c>
      <c r="G41" s="27">
        <v>33.31</v>
      </c>
      <c r="H41" s="27">
        <f t="shared" ref="H41" si="7">(G41+(G41*$H$6))</f>
        <v>43.43</v>
      </c>
      <c r="I41" s="27">
        <f t="shared" ref="I41" si="8">E41*H41</f>
        <v>86.86</v>
      </c>
      <c r="K41" s="28"/>
      <c r="L41" s="28"/>
    </row>
    <row r="42" spans="1:17" ht="25.5" customHeight="1" x14ac:dyDescent="0.25">
      <c r="A42" s="15" t="s">
        <v>156</v>
      </c>
      <c r="B42" s="65" t="s">
        <v>171</v>
      </c>
      <c r="C42" s="30" t="s">
        <v>174</v>
      </c>
      <c r="D42" s="26" t="s">
        <v>117</v>
      </c>
      <c r="E42" s="39">
        <f>'Mem. Cálc. - P.O'!J257</f>
        <v>5061.16</v>
      </c>
      <c r="F42" s="8" t="s">
        <v>28</v>
      </c>
      <c r="G42" s="27">
        <v>12.9</v>
      </c>
      <c r="H42" s="27">
        <f t="shared" ref="H42:H54" si="9">(G42+(G42*$H$6))</f>
        <v>16.82</v>
      </c>
      <c r="I42" s="27">
        <f t="shared" ref="I42:I54" si="10">E42*H42</f>
        <v>85128.71</v>
      </c>
      <c r="K42" s="28"/>
      <c r="L42" s="28"/>
    </row>
    <row r="43" spans="1:17" ht="25.5" customHeight="1" x14ac:dyDescent="0.25">
      <c r="A43" s="15" t="s">
        <v>157</v>
      </c>
      <c r="B43" s="38" t="s">
        <v>321</v>
      </c>
      <c r="C43" s="30" t="s">
        <v>174</v>
      </c>
      <c r="D43" s="26" t="s">
        <v>320</v>
      </c>
      <c r="E43" s="39">
        <f>'Mem. Cálc. - P.O'!J261</f>
        <v>90.55</v>
      </c>
      <c r="F43" s="8" t="s">
        <v>28</v>
      </c>
      <c r="G43" s="27">
        <v>10.6</v>
      </c>
      <c r="H43" s="27">
        <f t="shared" ref="H43" si="11">(G43+(G43*$H$6))</f>
        <v>13.82</v>
      </c>
      <c r="I43" s="27"/>
      <c r="K43" s="28"/>
      <c r="L43" s="28"/>
    </row>
    <row r="44" spans="1:17" ht="25.5" customHeight="1" x14ac:dyDescent="0.25">
      <c r="A44" s="15" t="s">
        <v>158</v>
      </c>
      <c r="B44" s="38" t="s">
        <v>172</v>
      </c>
      <c r="C44" s="30" t="s">
        <v>174</v>
      </c>
      <c r="D44" s="26" t="s">
        <v>118</v>
      </c>
      <c r="E44" s="39">
        <f>'Mem. Cálc. - P.O'!J266</f>
        <v>1228.26</v>
      </c>
      <c r="F44" s="8" t="s">
        <v>29</v>
      </c>
      <c r="G44" s="27">
        <v>2.92</v>
      </c>
      <c r="H44" s="27">
        <f t="shared" si="9"/>
        <v>3.81</v>
      </c>
      <c r="I44" s="27">
        <f t="shared" si="10"/>
        <v>4679.67</v>
      </c>
      <c r="K44" s="28"/>
      <c r="L44" s="28"/>
    </row>
    <row r="45" spans="1:17" ht="25.5" customHeight="1" x14ac:dyDescent="0.25">
      <c r="A45" s="15" t="s">
        <v>159</v>
      </c>
      <c r="B45" s="38" t="s">
        <v>259</v>
      </c>
      <c r="C45" s="30" t="s">
        <v>174</v>
      </c>
      <c r="D45" s="26" t="s">
        <v>260</v>
      </c>
      <c r="E45" s="39">
        <f>'Mem. Cálc. - P.O'!J271</f>
        <v>21368.43</v>
      </c>
      <c r="F45" s="8" t="s">
        <v>119</v>
      </c>
      <c r="G45" s="27">
        <v>4.7699999999999996</v>
      </c>
      <c r="H45" s="27">
        <f t="shared" si="9"/>
        <v>6.22</v>
      </c>
      <c r="I45" s="27">
        <f t="shared" si="10"/>
        <v>132911.63</v>
      </c>
      <c r="K45" s="28"/>
      <c r="L45" s="28"/>
    </row>
    <row r="46" spans="1:17" ht="25.5" customHeight="1" x14ac:dyDescent="0.25">
      <c r="A46" s="15" t="s">
        <v>160</v>
      </c>
      <c r="B46" s="38" t="s">
        <v>267</v>
      </c>
      <c r="C46" s="30" t="s">
        <v>174</v>
      </c>
      <c r="D46" s="26" t="s">
        <v>263</v>
      </c>
      <c r="E46" s="39">
        <f>'Mem. Cálc. - P.O'!J282</f>
        <v>896.3</v>
      </c>
      <c r="F46" s="8" t="s">
        <v>29</v>
      </c>
      <c r="G46" s="27">
        <v>2.81</v>
      </c>
      <c r="H46" s="27">
        <f t="shared" ref="H46" si="12">(G46+(G46*$H$6))</f>
        <v>3.66</v>
      </c>
      <c r="I46" s="27">
        <f t="shared" ref="I46" si="13">E46*H46</f>
        <v>3280.46</v>
      </c>
      <c r="K46" s="28"/>
      <c r="L46" s="28"/>
    </row>
    <row r="47" spans="1:17" ht="25.5" customHeight="1" x14ac:dyDescent="0.25">
      <c r="A47" s="15" t="s">
        <v>161</v>
      </c>
      <c r="B47" s="38">
        <v>100576</v>
      </c>
      <c r="C47" s="30" t="s">
        <v>192</v>
      </c>
      <c r="D47" s="26" t="s">
        <v>163</v>
      </c>
      <c r="E47" s="39">
        <f>'Mem. Cálc. - P.O'!J286</f>
        <v>5061.16</v>
      </c>
      <c r="F47" s="8" t="s">
        <v>28</v>
      </c>
      <c r="G47" s="27">
        <v>2.21</v>
      </c>
      <c r="H47" s="27">
        <f t="shared" si="9"/>
        <v>2.88</v>
      </c>
      <c r="I47" s="27">
        <f t="shared" si="10"/>
        <v>14576.14</v>
      </c>
      <c r="K47" s="28"/>
      <c r="L47" s="28"/>
    </row>
    <row r="48" spans="1:17" ht="25.5" customHeight="1" x14ac:dyDescent="0.25">
      <c r="A48" s="15" t="s">
        <v>162</v>
      </c>
      <c r="B48" s="38" t="s">
        <v>173</v>
      </c>
      <c r="C48" s="30" t="s">
        <v>174</v>
      </c>
      <c r="D48" s="26" t="s">
        <v>126</v>
      </c>
      <c r="E48" s="39">
        <f>'Mem. Cálc. - P.O'!J293</f>
        <v>980.8</v>
      </c>
      <c r="F48" s="8" t="s">
        <v>31</v>
      </c>
      <c r="G48" s="27">
        <v>9.2100000000000009</v>
      </c>
      <c r="H48" s="27">
        <f t="shared" si="9"/>
        <v>12.01</v>
      </c>
      <c r="I48" s="27">
        <f t="shared" si="10"/>
        <v>11779.41</v>
      </c>
      <c r="K48" s="28"/>
      <c r="L48" s="28"/>
    </row>
    <row r="49" spans="1:17" ht="25.5" customHeight="1" x14ac:dyDescent="0.25">
      <c r="A49" s="15" t="s">
        <v>262</v>
      </c>
      <c r="B49" s="38" t="s">
        <v>315</v>
      </c>
      <c r="C49" s="30" t="s">
        <v>174</v>
      </c>
      <c r="D49" s="26" t="s">
        <v>316</v>
      </c>
      <c r="E49" s="39">
        <f>'Mem. Cálc. - P.O'!J298</f>
        <v>191.65</v>
      </c>
      <c r="F49" s="8" t="s">
        <v>28</v>
      </c>
      <c r="G49" s="27">
        <v>14.11</v>
      </c>
      <c r="H49" s="27">
        <f t="shared" si="9"/>
        <v>18.399999999999999</v>
      </c>
      <c r="I49" s="27">
        <f t="shared" si="10"/>
        <v>3526.36</v>
      </c>
      <c r="K49" s="28"/>
      <c r="L49" s="28"/>
    </row>
    <row r="50" spans="1:17" ht="25.5" customHeight="1" x14ac:dyDescent="0.25">
      <c r="A50" s="15" t="s">
        <v>265</v>
      </c>
      <c r="B50" s="38" t="s">
        <v>274</v>
      </c>
      <c r="C50" s="30" t="s">
        <v>174</v>
      </c>
      <c r="D50" s="26" t="s">
        <v>271</v>
      </c>
      <c r="E50" s="39">
        <f>'Mem. Cálc. - P.O'!J302</f>
        <v>23</v>
      </c>
      <c r="F50" s="8" t="s">
        <v>29</v>
      </c>
      <c r="G50" s="27">
        <v>48</v>
      </c>
      <c r="H50" s="27">
        <f>(G50+(G50*$H$6))</f>
        <v>62.58</v>
      </c>
      <c r="I50" s="27">
        <f>E50*H50</f>
        <v>1439.34</v>
      </c>
      <c r="K50" s="28"/>
      <c r="L50" s="28"/>
    </row>
    <row r="51" spans="1:17" ht="25.5" customHeight="1" x14ac:dyDescent="0.25">
      <c r="A51" s="15" t="s">
        <v>266</v>
      </c>
      <c r="B51" s="38" t="s">
        <v>268</v>
      </c>
      <c r="C51" s="30" t="s">
        <v>174</v>
      </c>
      <c r="D51" s="26" t="s">
        <v>269</v>
      </c>
      <c r="E51" s="39">
        <f>'Mem. Cálc. - P.O'!J311</f>
        <v>2269.15</v>
      </c>
      <c r="F51" s="8" t="s">
        <v>28</v>
      </c>
      <c r="G51" s="27">
        <v>61.35</v>
      </c>
      <c r="H51" s="27">
        <f t="shared" si="9"/>
        <v>79.989999999999995</v>
      </c>
      <c r="I51" s="27">
        <f t="shared" si="10"/>
        <v>181509.31</v>
      </c>
      <c r="K51" s="28"/>
      <c r="L51" s="28"/>
    </row>
    <row r="52" spans="1:17" ht="25.5" customHeight="1" x14ac:dyDescent="0.25">
      <c r="A52" s="15" t="s">
        <v>270</v>
      </c>
      <c r="B52" s="38">
        <v>94274</v>
      </c>
      <c r="C52" s="30" t="s">
        <v>192</v>
      </c>
      <c r="D52" s="26" t="s">
        <v>128</v>
      </c>
      <c r="E52" s="39">
        <f>'Mem. Cálc. - P.O'!J326</f>
        <v>1059.55</v>
      </c>
      <c r="F52" s="8" t="s">
        <v>31</v>
      </c>
      <c r="G52" s="27">
        <v>71.069999999999993</v>
      </c>
      <c r="H52" s="27">
        <f t="shared" si="9"/>
        <v>92.66</v>
      </c>
      <c r="I52" s="27">
        <f t="shared" si="10"/>
        <v>98177.9</v>
      </c>
      <c r="K52" s="28"/>
      <c r="L52" s="28"/>
    </row>
    <row r="53" spans="1:17" ht="25.5" customHeight="1" x14ac:dyDescent="0.25">
      <c r="A53" s="15" t="s">
        <v>272</v>
      </c>
      <c r="B53" s="38">
        <v>92407</v>
      </c>
      <c r="C53" s="30" t="s">
        <v>192</v>
      </c>
      <c r="D53" s="26" t="s">
        <v>143</v>
      </c>
      <c r="E53" s="39">
        <f>'Mem. Cálc. - P.O'!J334</f>
        <v>5061.16</v>
      </c>
      <c r="F53" s="8" t="s">
        <v>28</v>
      </c>
      <c r="G53" s="27">
        <v>88.11</v>
      </c>
      <c r="H53" s="27">
        <f t="shared" si="9"/>
        <v>114.88</v>
      </c>
      <c r="I53" s="27">
        <f t="shared" si="10"/>
        <v>581426.06000000006</v>
      </c>
      <c r="K53" s="28"/>
      <c r="L53" s="28"/>
    </row>
    <row r="54" spans="1:17" ht="25.5" customHeight="1" x14ac:dyDescent="0.25">
      <c r="A54" s="15" t="s">
        <v>275</v>
      </c>
      <c r="B54" s="38">
        <v>94288</v>
      </c>
      <c r="C54" s="30" t="s">
        <v>192</v>
      </c>
      <c r="D54" s="26" t="s">
        <v>144</v>
      </c>
      <c r="E54" s="39">
        <f>'Mem. Cálc. - P.O'!J342</f>
        <v>1580.76</v>
      </c>
      <c r="F54" s="8" t="s">
        <v>31</v>
      </c>
      <c r="G54" s="27">
        <v>52.25</v>
      </c>
      <c r="H54" s="27">
        <f t="shared" si="9"/>
        <v>68.12</v>
      </c>
      <c r="I54" s="27">
        <f t="shared" si="10"/>
        <v>107681.37</v>
      </c>
      <c r="K54" s="28"/>
      <c r="L54" s="28"/>
    </row>
    <row r="55" spans="1:17" ht="16.5" customHeight="1" x14ac:dyDescent="0.25">
      <c r="A55" s="140" t="str">
        <f>"SUB-TOTAL (Item "&amp;A40&amp;"):"</f>
        <v>SUB-TOTAL (Item 6):</v>
      </c>
      <c r="B55" s="140"/>
      <c r="C55" s="140"/>
      <c r="D55" s="140"/>
      <c r="E55" s="140"/>
      <c r="F55" s="140"/>
      <c r="G55" s="140"/>
      <c r="H55" s="140"/>
      <c r="I55" s="48">
        <f>SUM(I41:I54)</f>
        <v>1226203.22</v>
      </c>
    </row>
    <row r="56" spans="1:17" s="1" customFormat="1" ht="16.5" customHeight="1" x14ac:dyDescent="0.25">
      <c r="A56" s="31">
        <v>7</v>
      </c>
      <c r="B56" s="32" t="s">
        <v>73</v>
      </c>
      <c r="C56" s="133" t="s">
        <v>73</v>
      </c>
      <c r="D56" s="144" t="s">
        <v>398</v>
      </c>
      <c r="E56" s="144"/>
      <c r="F56" s="144"/>
      <c r="G56" s="144"/>
      <c r="H56" s="144"/>
      <c r="I56" s="144"/>
      <c r="K56" s="7"/>
      <c r="L56" s="29"/>
      <c r="M56" s="29"/>
      <c r="Q56" s="13"/>
    </row>
    <row r="57" spans="1:17" ht="25.5" customHeight="1" x14ac:dyDescent="0.25">
      <c r="A57" s="15" t="s">
        <v>370</v>
      </c>
      <c r="B57" s="65" t="str">
        <f>"COMP-PMNE-00"&amp;'C.P.U.'!A40</f>
        <v>COMP-PMNE-004</v>
      </c>
      <c r="C57" s="65" t="str">
        <f>"COMP-PMNE-00"&amp;'C.P.U.'!A40</f>
        <v>COMP-PMNE-004</v>
      </c>
      <c r="D57" s="26" t="s">
        <v>332</v>
      </c>
      <c r="E57" s="39">
        <f>'Mem. Cálc. - P.O'!J347</f>
        <v>111.15</v>
      </c>
      <c r="F57" s="8" t="s">
        <v>31</v>
      </c>
      <c r="G57" s="27">
        <f>'C.P.U.'!I40</f>
        <v>292.43</v>
      </c>
      <c r="H57" s="27">
        <f>(G57+(G57*$H$6))</f>
        <v>381.27</v>
      </c>
      <c r="I57" s="27">
        <f>E57*H57</f>
        <v>42378.16</v>
      </c>
      <c r="K57" s="28"/>
      <c r="L57" s="28"/>
    </row>
    <row r="58" spans="1:17" ht="25.5" customHeight="1" x14ac:dyDescent="0.25">
      <c r="A58" s="15" t="s">
        <v>371</v>
      </c>
      <c r="B58" s="38" t="s">
        <v>391</v>
      </c>
      <c r="C58" s="30" t="s">
        <v>174</v>
      </c>
      <c r="D58" s="26" t="s">
        <v>390</v>
      </c>
      <c r="E58" s="39">
        <f>'Mem. Cálc. - P.O'!J351</f>
        <v>10</v>
      </c>
      <c r="F58" s="8" t="s">
        <v>30</v>
      </c>
      <c r="G58" s="27">
        <v>16.71</v>
      </c>
      <c r="H58" s="27">
        <f>(G58+(G58*$H$6))</f>
        <v>21.79</v>
      </c>
      <c r="I58" s="27">
        <f>E58*H58</f>
        <v>217.9</v>
      </c>
      <c r="K58" s="28"/>
      <c r="L58" s="28"/>
    </row>
    <row r="59" spans="1:17" ht="25.5" customHeight="1" x14ac:dyDescent="0.25">
      <c r="A59" s="15" t="s">
        <v>372</v>
      </c>
      <c r="B59" s="38" t="s">
        <v>364</v>
      </c>
      <c r="C59" s="30" t="s">
        <v>174</v>
      </c>
      <c r="D59" s="26" t="s">
        <v>368</v>
      </c>
      <c r="E59" s="39">
        <f>'Mem. Cálc. - P.O'!J357</f>
        <v>459.95</v>
      </c>
      <c r="F59" s="8" t="s">
        <v>28</v>
      </c>
      <c r="G59" s="27">
        <v>233.69</v>
      </c>
      <c r="H59" s="27">
        <f>(G59+(G59*$H$6))</f>
        <v>304.69</v>
      </c>
      <c r="I59" s="27">
        <f>E59*H59</f>
        <v>140142.17000000001</v>
      </c>
      <c r="K59" s="28"/>
      <c r="L59" s="28"/>
    </row>
    <row r="60" spans="1:17" ht="25.5" customHeight="1" x14ac:dyDescent="0.25">
      <c r="A60" s="15" t="s">
        <v>373</v>
      </c>
      <c r="B60" s="38">
        <v>96523</v>
      </c>
      <c r="C60" s="30" t="s">
        <v>192</v>
      </c>
      <c r="D60" s="26" t="s">
        <v>381</v>
      </c>
      <c r="E60" s="39">
        <f>'Mem. Cálc. - P.O'!J363</f>
        <v>1.6</v>
      </c>
      <c r="F60" s="8" t="s">
        <v>29</v>
      </c>
      <c r="G60" s="27">
        <v>120.03</v>
      </c>
      <c r="H60" s="27">
        <f>(G60+(G60*$H$6))</f>
        <v>156.5</v>
      </c>
      <c r="I60" s="27">
        <f>E60*H60</f>
        <v>250.4</v>
      </c>
      <c r="K60" s="28"/>
      <c r="L60" s="28"/>
    </row>
    <row r="61" spans="1:17" ht="25.5" customHeight="1" x14ac:dyDescent="0.25">
      <c r="A61" s="15" t="s">
        <v>374</v>
      </c>
      <c r="B61" s="38" t="s">
        <v>388</v>
      </c>
      <c r="C61" s="30" t="s">
        <v>174</v>
      </c>
      <c r="D61" s="26" t="s">
        <v>387</v>
      </c>
      <c r="E61" s="39">
        <f>'Mem. Cálc. - P.O'!J369</f>
        <v>4</v>
      </c>
      <c r="F61" s="8" t="s">
        <v>28</v>
      </c>
      <c r="G61" s="27">
        <v>18.64</v>
      </c>
      <c r="H61" s="27">
        <f>(G61+(G61*$H$6))</f>
        <v>24.3</v>
      </c>
      <c r="I61" s="27">
        <f>E61*H61</f>
        <v>97.2</v>
      </c>
      <c r="K61" s="28"/>
      <c r="L61" s="28"/>
    </row>
    <row r="62" spans="1:17" ht="25.5" customHeight="1" x14ac:dyDescent="0.25">
      <c r="A62" s="15" t="s">
        <v>384</v>
      </c>
      <c r="B62" s="65" t="str">
        <f>"COMP-PMNE-00"&amp;'C.P.U.'!A54</f>
        <v>COMP-PMNE-005</v>
      </c>
      <c r="C62" s="65" t="str">
        <f>"COMP-PMNE-00"&amp;'C.P.U.'!A54</f>
        <v>COMP-PMNE-005</v>
      </c>
      <c r="D62" s="26" t="s">
        <v>380</v>
      </c>
      <c r="E62" s="39">
        <f>'Mem. Cálc. - P.O'!J375</f>
        <v>1.6</v>
      </c>
      <c r="F62" s="8" t="str">
        <f>'C.P.U.'!H54</f>
        <v>M3</v>
      </c>
      <c r="G62" s="27">
        <f>'C.P.U.'!I54</f>
        <v>1622.34</v>
      </c>
      <c r="H62" s="27">
        <f t="shared" ref="H62:H66" si="14">(G62+(G62*$H$6))</f>
        <v>2115.21</v>
      </c>
      <c r="I62" s="27">
        <f t="shared" ref="I62" si="15">E62*H62</f>
        <v>3384.34</v>
      </c>
      <c r="K62" s="28"/>
      <c r="L62" s="28"/>
    </row>
    <row r="63" spans="1:17" ht="25.5" customHeight="1" x14ac:dyDescent="0.25">
      <c r="A63" s="15" t="s">
        <v>385</v>
      </c>
      <c r="B63" s="65" t="s">
        <v>383</v>
      </c>
      <c r="C63" s="30" t="s">
        <v>174</v>
      </c>
      <c r="D63" s="26" t="s">
        <v>382</v>
      </c>
      <c r="E63" s="39">
        <f>'Mem. Cálc. - P.O'!J390</f>
        <v>4.97</v>
      </c>
      <c r="F63" s="8" t="s">
        <v>29</v>
      </c>
      <c r="G63" s="27">
        <v>2879.41</v>
      </c>
      <c r="H63" s="27">
        <f t="shared" si="14"/>
        <v>3754.17</v>
      </c>
      <c r="I63" s="27">
        <f>E63*H63</f>
        <v>18658.22</v>
      </c>
      <c r="K63" s="28"/>
      <c r="L63" s="28"/>
    </row>
    <row r="64" spans="1:17" ht="25.5" customHeight="1" x14ac:dyDescent="0.25">
      <c r="A64" s="15" t="s">
        <v>386</v>
      </c>
      <c r="B64" s="38" t="s">
        <v>375</v>
      </c>
      <c r="C64" s="30" t="s">
        <v>174</v>
      </c>
      <c r="D64" s="26" t="s">
        <v>369</v>
      </c>
      <c r="E64" s="39">
        <f>'Mem. Cálc. - P.O'!J398</f>
        <v>3.24</v>
      </c>
      <c r="F64" s="8" t="s">
        <v>29</v>
      </c>
      <c r="G64" s="27">
        <v>3434.06</v>
      </c>
      <c r="H64" s="27">
        <f t="shared" si="14"/>
        <v>4477.33</v>
      </c>
      <c r="I64" s="27">
        <f>E64*H64</f>
        <v>14506.55</v>
      </c>
      <c r="K64" s="28"/>
      <c r="L64" s="28"/>
    </row>
    <row r="65" spans="1:12" ht="25.5" customHeight="1" x14ac:dyDescent="0.25">
      <c r="A65" s="15" t="s">
        <v>389</v>
      </c>
      <c r="B65" s="38">
        <v>101203</v>
      </c>
      <c r="C65" s="30" t="s">
        <v>192</v>
      </c>
      <c r="D65" s="26" t="s">
        <v>393</v>
      </c>
      <c r="E65" s="39">
        <f>'Mem. Cálc. - P.O'!J404</f>
        <v>41.75</v>
      </c>
      <c r="F65" s="8" t="s">
        <v>31</v>
      </c>
      <c r="G65" s="27">
        <v>34.85</v>
      </c>
      <c r="H65" s="27">
        <f t="shared" si="14"/>
        <v>45.44</v>
      </c>
      <c r="I65" s="27">
        <f>E65*H65</f>
        <v>1897.12</v>
      </c>
      <c r="K65" s="28"/>
      <c r="L65" s="28"/>
    </row>
    <row r="66" spans="1:12" ht="25.5" customHeight="1" x14ac:dyDescent="0.25">
      <c r="A66" s="15" t="s">
        <v>396</v>
      </c>
      <c r="B66" s="38" t="s">
        <v>397</v>
      </c>
      <c r="C66" s="30" t="s">
        <v>174</v>
      </c>
      <c r="D66" s="26" t="s">
        <v>395</v>
      </c>
      <c r="E66" s="39">
        <f>'Mem. Cálc. - P.O'!J408</f>
        <v>1.89</v>
      </c>
      <c r="F66" s="8" t="s">
        <v>28</v>
      </c>
      <c r="G66" s="27">
        <v>501.63</v>
      </c>
      <c r="H66" s="27">
        <f t="shared" si="14"/>
        <v>654.03</v>
      </c>
      <c r="I66" s="27">
        <f>E66*H66</f>
        <v>1236.1199999999999</v>
      </c>
      <c r="K66" s="28"/>
      <c r="L66" s="28"/>
    </row>
    <row r="67" spans="1:12" ht="16.5" customHeight="1" x14ac:dyDescent="0.25">
      <c r="A67" s="140" t="str">
        <f>"SUB-TOTAL (Item "&amp;A56&amp;"):"</f>
        <v>SUB-TOTAL (Item 7):</v>
      </c>
      <c r="B67" s="140"/>
      <c r="C67" s="140"/>
      <c r="D67" s="140"/>
      <c r="E67" s="140"/>
      <c r="F67" s="140"/>
      <c r="G67" s="140"/>
      <c r="H67" s="140"/>
      <c r="I67" s="48">
        <f>SUM(I57:I66)</f>
        <v>222768.18</v>
      </c>
    </row>
    <row r="68" spans="1:12" ht="16.5" customHeight="1" x14ac:dyDescent="0.25">
      <c r="A68" s="145" t="s">
        <v>47</v>
      </c>
      <c r="B68" s="145"/>
      <c r="C68" s="145"/>
      <c r="D68" s="145"/>
      <c r="E68" s="145"/>
      <c r="F68" s="145"/>
      <c r="G68" s="145"/>
      <c r="H68" s="145"/>
      <c r="I68" s="49">
        <f>I12+I19+I25+I29+I39+I55+I67</f>
        <v>1952913.54</v>
      </c>
      <c r="J68" s="28"/>
    </row>
    <row r="69" spans="1:12" ht="16.5" customHeight="1" x14ac:dyDescent="0.25">
      <c r="A69" s="146" t="s">
        <v>46</v>
      </c>
      <c r="B69" s="147"/>
      <c r="C69" s="147"/>
      <c r="D69" s="147"/>
      <c r="E69" s="147"/>
      <c r="F69" s="147"/>
      <c r="G69" s="147"/>
      <c r="H69" s="147"/>
      <c r="I69" s="148"/>
    </row>
    <row r="70" spans="1:12" ht="21" customHeight="1" x14ac:dyDescent="0.25">
      <c r="A70" s="149" t="s">
        <v>45</v>
      </c>
      <c r="B70" s="150"/>
      <c r="C70" s="150"/>
      <c r="D70" s="150"/>
      <c r="E70" s="150"/>
      <c r="F70" s="150"/>
      <c r="G70" s="150"/>
      <c r="H70" s="150"/>
      <c r="I70" s="151"/>
    </row>
    <row r="71" spans="1:12" ht="25.5" customHeight="1" x14ac:dyDescent="0.25">
      <c r="A71" s="149" t="s">
        <v>44</v>
      </c>
      <c r="B71" s="150"/>
      <c r="C71" s="150"/>
      <c r="D71" s="150"/>
      <c r="E71" s="150"/>
      <c r="F71" s="150"/>
      <c r="G71" s="150"/>
      <c r="H71" s="150"/>
      <c r="I71" s="151"/>
    </row>
    <row r="72" spans="1:12" ht="16.5" customHeight="1" x14ac:dyDescent="0.25">
      <c r="A72" s="149" t="s">
        <v>43</v>
      </c>
      <c r="B72" s="150"/>
      <c r="C72" s="150"/>
      <c r="D72" s="150"/>
      <c r="E72" s="150"/>
      <c r="F72" s="150"/>
      <c r="G72" s="150"/>
      <c r="H72" s="150"/>
      <c r="I72" s="151"/>
    </row>
    <row r="73" spans="1:12" ht="25.5" customHeight="1" x14ac:dyDescent="0.25">
      <c r="A73" s="149" t="s">
        <v>42</v>
      </c>
      <c r="B73" s="150"/>
      <c r="C73" s="150"/>
      <c r="D73" s="150"/>
      <c r="E73" s="150"/>
      <c r="F73" s="150"/>
      <c r="G73" s="150"/>
      <c r="H73" s="150"/>
      <c r="I73" s="151"/>
    </row>
    <row r="74" spans="1:12" ht="24" customHeight="1" x14ac:dyDescent="0.25">
      <c r="A74" s="149" t="s">
        <v>41</v>
      </c>
      <c r="B74" s="150"/>
      <c r="C74" s="150"/>
      <c r="D74" s="150"/>
      <c r="E74" s="150"/>
      <c r="F74" s="150"/>
      <c r="G74" s="150"/>
      <c r="H74" s="150"/>
      <c r="I74" s="151"/>
    </row>
    <row r="75" spans="1:12" ht="16.5" customHeight="1" x14ac:dyDescent="0.25">
      <c r="A75" s="149" t="s">
        <v>40</v>
      </c>
      <c r="B75" s="150"/>
      <c r="C75" s="150"/>
      <c r="D75" s="150"/>
      <c r="E75" s="150"/>
      <c r="F75" s="150"/>
      <c r="G75" s="150"/>
      <c r="H75" s="150"/>
      <c r="I75" s="151"/>
    </row>
    <row r="76" spans="1:12" ht="24.75" customHeight="1" x14ac:dyDescent="0.25">
      <c r="A76" s="149" t="s">
        <v>39</v>
      </c>
      <c r="B76" s="150"/>
      <c r="C76" s="150"/>
      <c r="D76" s="150"/>
      <c r="E76" s="150"/>
      <c r="F76" s="150"/>
      <c r="G76" s="150"/>
      <c r="H76" s="150"/>
      <c r="I76" s="151"/>
    </row>
    <row r="77" spans="1:12" ht="25.5" customHeight="1" x14ac:dyDescent="0.25">
      <c r="A77" s="141" t="s">
        <v>38</v>
      </c>
      <c r="B77" s="142"/>
      <c r="C77" s="142"/>
      <c r="D77" s="142"/>
      <c r="E77" s="142"/>
      <c r="F77" s="142"/>
      <c r="G77" s="142"/>
      <c r="H77" s="142"/>
      <c r="I77" s="143"/>
    </row>
  </sheetData>
  <mergeCells count="33">
    <mergeCell ref="D20:I20"/>
    <mergeCell ref="A25:H25"/>
    <mergeCell ref="D26:I26"/>
    <mergeCell ref="A29:H29"/>
    <mergeCell ref="A19:H19"/>
    <mergeCell ref="A8:I8"/>
    <mergeCell ref="D10:I10"/>
    <mergeCell ref="A12:H12"/>
    <mergeCell ref="D13:I13"/>
    <mergeCell ref="A1:I3"/>
    <mergeCell ref="A4:I4"/>
    <mergeCell ref="A5:I5"/>
    <mergeCell ref="A6:B7"/>
    <mergeCell ref="G6:G7"/>
    <mergeCell ref="H6:H7"/>
    <mergeCell ref="I6:I7"/>
    <mergeCell ref="C6:F7"/>
    <mergeCell ref="D30:I30"/>
    <mergeCell ref="A55:H55"/>
    <mergeCell ref="A77:I77"/>
    <mergeCell ref="D40:I40"/>
    <mergeCell ref="A39:H39"/>
    <mergeCell ref="A68:H68"/>
    <mergeCell ref="A69:I69"/>
    <mergeCell ref="A70:I70"/>
    <mergeCell ref="A71:I71"/>
    <mergeCell ref="A72:I72"/>
    <mergeCell ref="A73:I73"/>
    <mergeCell ref="A74:I74"/>
    <mergeCell ref="A75:I75"/>
    <mergeCell ref="A76:I76"/>
    <mergeCell ref="D56:I56"/>
    <mergeCell ref="A67:H67"/>
  </mergeCells>
  <phoneticPr fontId="16" type="noConversion"/>
  <pageMargins left="0.19685039370078741" right="0.19685039370078741" top="0.19685039370078741" bottom="1.1811023622047245" header="0.31496062992125984" footer="0.31496062992125984"/>
  <pageSetup paperSize="9" scale="69" fitToHeight="0" orientation="landscape" verticalDpi="4294967295" r:id="rId1"/>
  <headerFooter>
    <oddFooter>Página &amp;P de &amp;N</oddFooter>
  </headerFooter>
  <rowBreaks count="2" manualBreakCount="2">
    <brk id="34" max="8" man="1"/>
    <brk id="55"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08"/>
  <sheetViews>
    <sheetView view="pageBreakPreview" zoomScaleNormal="100" zoomScaleSheetLayoutView="100" workbookViewId="0">
      <selection activeCell="L406" sqref="L406"/>
    </sheetView>
  </sheetViews>
  <sheetFormatPr defaultRowHeight="16.5" customHeight="1" x14ac:dyDescent="0.25"/>
  <cols>
    <col min="1" max="1" width="14.7109375" style="12" customWidth="1"/>
    <col min="2" max="2" width="31.5703125" style="12" customWidth="1"/>
    <col min="3" max="10" width="14.7109375" style="12" customWidth="1"/>
    <col min="11" max="11" width="9.140625" style="12"/>
    <col min="12" max="12" width="11.28515625" style="12" bestFit="1" customWidth="1"/>
    <col min="13" max="16384" width="9.140625" style="12"/>
  </cols>
  <sheetData>
    <row r="1" spans="1:10" s="1" customFormat="1" ht="16.5" customHeight="1" x14ac:dyDescent="0.2">
      <c r="A1" s="211" t="s">
        <v>25</v>
      </c>
      <c r="B1" s="211"/>
      <c r="C1" s="211"/>
      <c r="D1" s="211"/>
      <c r="E1" s="211"/>
      <c r="F1" s="211"/>
      <c r="G1" s="211"/>
      <c r="H1" s="211"/>
      <c r="I1" s="211"/>
      <c r="J1" s="211"/>
    </row>
    <row r="2" spans="1:10" s="1" customFormat="1" ht="16.5" customHeight="1" x14ac:dyDescent="0.2">
      <c r="A2" s="211"/>
      <c r="B2" s="211"/>
      <c r="C2" s="211"/>
      <c r="D2" s="211"/>
      <c r="E2" s="211"/>
      <c r="F2" s="211"/>
      <c r="G2" s="211"/>
      <c r="H2" s="211"/>
      <c r="I2" s="211"/>
      <c r="J2" s="211"/>
    </row>
    <row r="3" spans="1:10" s="1" customFormat="1" ht="16.5" customHeight="1" x14ac:dyDescent="0.2">
      <c r="A3" s="211"/>
      <c r="B3" s="211"/>
      <c r="C3" s="211"/>
      <c r="D3" s="211"/>
      <c r="E3" s="211"/>
      <c r="F3" s="211"/>
      <c r="G3" s="211"/>
      <c r="H3" s="211"/>
      <c r="I3" s="211"/>
      <c r="J3" s="211"/>
    </row>
    <row r="4" spans="1:10" s="1" customFormat="1" ht="16.5" customHeight="1" x14ac:dyDescent="0.2">
      <c r="A4" s="212" t="str">
        <f>'Plan. Orçamentária'!A4:I4</f>
        <v>OBRA POR EXECUÇÃO INDIRETA</v>
      </c>
      <c r="B4" s="212"/>
      <c r="C4" s="212"/>
      <c r="D4" s="212"/>
      <c r="E4" s="212"/>
      <c r="F4" s="212"/>
      <c r="G4" s="212"/>
      <c r="H4" s="212"/>
      <c r="I4" s="212"/>
      <c r="J4" s="212"/>
    </row>
    <row r="5" spans="1:10" s="1" customFormat="1" ht="16.5" customHeight="1" x14ac:dyDescent="0.2">
      <c r="A5" s="154" t="str">
        <f>'Plan. Orçamentária'!A5</f>
        <v>Setor requisitante: Secretaria Municipal de Obras e Serviços Urbanos</v>
      </c>
      <c r="B5" s="154"/>
      <c r="C5" s="154"/>
      <c r="D5" s="154"/>
      <c r="E5" s="154"/>
      <c r="F5" s="154"/>
      <c r="G5" s="154"/>
      <c r="H5" s="154"/>
      <c r="I5" s="154"/>
      <c r="J5" s="154"/>
    </row>
    <row r="6" spans="1:10" s="1" customFormat="1" ht="16.5" customHeight="1" x14ac:dyDescent="0.2">
      <c r="A6" s="154" t="str">
        <f>'Plan. Orçamentária'!A6</f>
        <v>Objeto:</v>
      </c>
      <c r="B6" s="213" t="str">
        <f>'Plan. Orçamentária'!C6</f>
        <v>LOE 01 - Pavimentação de via em piso de concreto pré-moldado intertravado, tipo Sextavado - Rua Nossa Senhora do Rosário e Rua Artur Vidigal, bairro Santa Maria - Nova Era/MG</v>
      </c>
      <c r="C6" s="213"/>
      <c r="D6" s="213"/>
      <c r="E6" s="213"/>
      <c r="F6" s="213"/>
      <c r="G6" s="213"/>
      <c r="H6" s="155" t="str">
        <f>'Plan. Orçamentária'!G6</f>
        <v>BDI:</v>
      </c>
      <c r="I6" s="214">
        <f>'Plan. Orçamentária'!H6</f>
        <v>0.30380000000000001</v>
      </c>
      <c r="J6" s="215">
        <f ca="1">'Plan. Orçamentária'!I6</f>
        <v>44887</v>
      </c>
    </row>
    <row r="7" spans="1:10" s="1" customFormat="1" ht="16.5" customHeight="1" x14ac:dyDescent="0.2">
      <c r="A7" s="154"/>
      <c r="B7" s="213"/>
      <c r="C7" s="213"/>
      <c r="D7" s="213"/>
      <c r="E7" s="213"/>
      <c r="F7" s="213"/>
      <c r="G7" s="213"/>
      <c r="H7" s="155"/>
      <c r="I7" s="154"/>
      <c r="J7" s="215"/>
    </row>
    <row r="8" spans="1:10" s="1" customFormat="1" ht="16.5" customHeight="1" x14ac:dyDescent="0.2">
      <c r="A8" s="212" t="s">
        <v>11</v>
      </c>
      <c r="B8" s="212"/>
      <c r="C8" s="212"/>
      <c r="D8" s="212"/>
      <c r="E8" s="212"/>
      <c r="F8" s="212"/>
      <c r="G8" s="212"/>
      <c r="H8" s="212"/>
      <c r="I8" s="212"/>
      <c r="J8" s="212"/>
    </row>
    <row r="9" spans="1:10" s="1" customFormat="1" ht="16.5" customHeight="1" x14ac:dyDescent="0.2">
      <c r="A9" s="47">
        <f>'Plan. Orçamentária'!A10</f>
        <v>1</v>
      </c>
      <c r="B9" s="209" t="str">
        <f>'Plan. Orçamentária'!D10</f>
        <v>MOBILIZAÇÃO E DESMOBILIZAÇÃO</v>
      </c>
      <c r="C9" s="209"/>
      <c r="D9" s="209"/>
      <c r="E9" s="209"/>
      <c r="F9" s="209"/>
      <c r="G9" s="209"/>
      <c r="H9" s="209"/>
      <c r="I9" s="209"/>
      <c r="J9" s="209"/>
    </row>
    <row r="10" spans="1:10" s="1" customFormat="1" ht="16.5" customHeight="1" x14ac:dyDescent="0.2">
      <c r="A10" s="191" t="s">
        <v>12</v>
      </c>
      <c r="B10" s="191"/>
      <c r="C10" s="191"/>
      <c r="D10" s="167" t="s">
        <v>22</v>
      </c>
      <c r="E10" s="167"/>
      <c r="F10" s="167" t="s">
        <v>23</v>
      </c>
      <c r="G10" s="167"/>
      <c r="H10" s="167" t="str">
        <f>'Plan. Orçamentária'!D11</f>
        <v>Mobilização e desmobilização de obra em centro urbano ou região limítrofe com valor entre 1.000.000,01 a 3.000.000,00</v>
      </c>
      <c r="I10" s="167"/>
      <c r="J10" s="167"/>
    </row>
    <row r="11" spans="1:10" s="1" customFormat="1" ht="16.5" customHeight="1" x14ac:dyDescent="0.2">
      <c r="A11" s="191"/>
      <c r="B11" s="191"/>
      <c r="C11" s="191"/>
      <c r="D11" s="167"/>
      <c r="E11" s="167"/>
      <c r="F11" s="167"/>
      <c r="G11" s="167"/>
      <c r="H11" s="167"/>
      <c r="I11" s="167"/>
      <c r="J11" s="167"/>
    </row>
    <row r="12" spans="1:10" s="1" customFormat="1" ht="16.5" customHeight="1" x14ac:dyDescent="0.2">
      <c r="A12" s="191"/>
      <c r="B12" s="191"/>
      <c r="C12" s="191"/>
      <c r="D12" s="167"/>
      <c r="E12" s="167"/>
      <c r="F12" s="167"/>
      <c r="G12" s="167"/>
      <c r="H12" s="167"/>
      <c r="I12" s="167"/>
      <c r="J12" s="167"/>
    </row>
    <row r="13" spans="1:10" s="1" customFormat="1" ht="16.5" customHeight="1" x14ac:dyDescent="0.2">
      <c r="A13" s="220">
        <v>0.3</v>
      </c>
      <c r="B13" s="220"/>
      <c r="C13" s="220"/>
      <c r="D13" s="190">
        <f>'Plan. Orçamentária'!I19+'Plan. Orçamentária'!I25+'Plan. Orçamentária'!I29+'Plan. Orçamentária'!I39+'Plan. Orçamentária'!I55</f>
        <v>1724970.45</v>
      </c>
      <c r="E13" s="190"/>
      <c r="F13" s="190">
        <f>D13/1.3038</f>
        <v>1323033.02</v>
      </c>
      <c r="G13" s="190"/>
      <c r="H13" s="190">
        <f>(F13*A13)/100</f>
        <v>3969.1</v>
      </c>
      <c r="I13" s="190"/>
      <c r="J13" s="190"/>
    </row>
    <row r="14" spans="1:10" s="1" customFormat="1" ht="16.5" customHeight="1" x14ac:dyDescent="0.2">
      <c r="A14" s="16" t="str">
        <f>'Plan. Orçamentária'!A11</f>
        <v>1.1</v>
      </c>
      <c r="B14" s="216" t="str">
        <f>'Plan. Orçamentária'!D11</f>
        <v>Mobilização e desmobilização de obra em centro urbano ou região limítrofe com valor entre 1.000.000,01 a 3.000.000,00</v>
      </c>
      <c r="C14" s="217"/>
      <c r="D14" s="217"/>
      <c r="E14" s="217"/>
      <c r="F14" s="217"/>
      <c r="G14" s="217"/>
      <c r="H14" s="217"/>
      <c r="I14" s="217"/>
      <c r="J14" s="218"/>
    </row>
    <row r="15" spans="1:10" s="1" customFormat="1" ht="16.5" customHeight="1" x14ac:dyDescent="0.2">
      <c r="A15" s="191" t="s">
        <v>12</v>
      </c>
      <c r="B15" s="191"/>
      <c r="C15" s="191"/>
      <c r="D15" s="46" t="s">
        <v>13</v>
      </c>
      <c r="E15" s="46" t="s">
        <v>14</v>
      </c>
      <c r="F15" s="46" t="s">
        <v>15</v>
      </c>
      <c r="G15" s="46" t="s">
        <v>16</v>
      </c>
      <c r="H15" s="46" t="s">
        <v>17</v>
      </c>
      <c r="I15" s="46" t="s">
        <v>18</v>
      </c>
      <c r="J15" s="46" t="s">
        <v>19</v>
      </c>
    </row>
    <row r="16" spans="1:10" s="1" customFormat="1" ht="16.5" customHeight="1" x14ac:dyDescent="0.2">
      <c r="A16" s="192" t="s">
        <v>137</v>
      </c>
      <c r="B16" s="192"/>
      <c r="C16" s="192"/>
      <c r="D16" s="5"/>
      <c r="E16" s="5"/>
      <c r="F16" s="5"/>
      <c r="G16" s="5">
        <v>0.7</v>
      </c>
      <c r="H16" s="5"/>
      <c r="I16" s="5"/>
      <c r="J16" s="5">
        <f>((PRODUCT(D16:H16))-I16)</f>
        <v>0.7</v>
      </c>
    </row>
    <row r="17" spans="1:10" s="1" customFormat="1" ht="16.5" customHeight="1" x14ac:dyDescent="0.2">
      <c r="A17" s="192" t="s">
        <v>238</v>
      </c>
      <c r="B17" s="192"/>
      <c r="C17" s="192"/>
      <c r="D17" s="5"/>
      <c r="E17" s="5"/>
      <c r="F17" s="5"/>
      <c r="G17" s="5">
        <v>0.3</v>
      </c>
      <c r="H17" s="5"/>
      <c r="I17" s="5"/>
      <c r="J17" s="5">
        <f>((PRODUCT(D17:H17))-I17)</f>
        <v>0.3</v>
      </c>
    </row>
    <row r="18" spans="1:10" ht="16.5" customHeight="1" x14ac:dyDescent="0.25">
      <c r="A18" s="169" t="str">
        <f>"TOTAL - "&amp;'Plan. Orçamentária'!F11</f>
        <v>TOTAL - VB</v>
      </c>
      <c r="B18" s="169"/>
      <c r="C18" s="169"/>
      <c r="D18" s="169"/>
      <c r="E18" s="169"/>
      <c r="F18" s="169"/>
      <c r="G18" s="169"/>
      <c r="H18" s="169"/>
      <c r="I18" s="169"/>
      <c r="J18" s="40">
        <f>SUM(J16:J17)</f>
        <v>1</v>
      </c>
    </row>
    <row r="19" spans="1:10" s="1" customFormat="1" ht="16.5" customHeight="1" x14ac:dyDescent="0.2">
      <c r="A19" s="47">
        <f>'Plan. Orçamentária'!A13</f>
        <v>2</v>
      </c>
      <c r="B19" s="209" t="str">
        <f>'Plan. Orçamentária'!D13</f>
        <v>CANTEIRO DE OBRAS</v>
      </c>
      <c r="C19" s="209"/>
      <c r="D19" s="209"/>
      <c r="E19" s="209"/>
      <c r="F19" s="209"/>
      <c r="G19" s="209"/>
      <c r="H19" s="209"/>
      <c r="I19" s="209"/>
      <c r="J19" s="209"/>
    </row>
    <row r="20" spans="1:10" s="1" customFormat="1" ht="27.75" customHeight="1" x14ac:dyDescent="0.2">
      <c r="A20" s="16" t="str">
        <f>'Plan. Orçamentária'!A14</f>
        <v>2.1</v>
      </c>
      <c r="B20" s="210" t="str">
        <f>'Plan. Orçamentária'!D14</f>
        <v>Fornecimento e colocação de placa de obra em chapa galvanizada (3,00 x 1,50m) - em chapa galvanizada 0,26 afixadas com rebites 540 e parafusos 3/8, em estrutura metálica viga u 2" enrijecida com metalon 20 x 20, suporte em eucalipto autoclavado pintadas</v>
      </c>
      <c r="C20" s="210"/>
      <c r="D20" s="210"/>
      <c r="E20" s="210"/>
      <c r="F20" s="210"/>
      <c r="G20" s="210"/>
      <c r="H20" s="210"/>
      <c r="I20" s="210"/>
      <c r="J20" s="210"/>
    </row>
    <row r="21" spans="1:10" s="1" customFormat="1" ht="16.5" customHeight="1" x14ac:dyDescent="0.2">
      <c r="A21" s="191" t="s">
        <v>12</v>
      </c>
      <c r="B21" s="191"/>
      <c r="C21" s="191"/>
      <c r="D21" s="46" t="s">
        <v>13</v>
      </c>
      <c r="E21" s="46" t="s">
        <v>14</v>
      </c>
      <c r="F21" s="46" t="s">
        <v>15</v>
      </c>
      <c r="G21" s="46" t="s">
        <v>16</v>
      </c>
      <c r="H21" s="46" t="s">
        <v>17</v>
      </c>
      <c r="I21" s="46" t="s">
        <v>18</v>
      </c>
      <c r="J21" s="46" t="s">
        <v>19</v>
      </c>
    </row>
    <row r="22" spans="1:10" s="1" customFormat="1" ht="16.5" customHeight="1" x14ac:dyDescent="0.2">
      <c r="A22" s="192" t="s">
        <v>239</v>
      </c>
      <c r="B22" s="192"/>
      <c r="C22" s="192"/>
      <c r="D22" s="5"/>
      <c r="E22" s="5"/>
      <c r="F22" s="5"/>
      <c r="G22" s="5">
        <v>1</v>
      </c>
      <c r="H22" s="5"/>
      <c r="I22" s="5"/>
      <c r="J22" s="5">
        <f>((PRODUCT(D22:H22))-I22)</f>
        <v>1</v>
      </c>
    </row>
    <row r="23" spans="1:10" ht="16.5" customHeight="1" x14ac:dyDescent="0.25">
      <c r="A23" s="169" t="str">
        <f>"TOTAL - "&amp;'Plan. Orçamentária'!F14</f>
        <v>TOTAL - UN</v>
      </c>
      <c r="B23" s="169"/>
      <c r="C23" s="169"/>
      <c r="D23" s="169"/>
      <c r="E23" s="169"/>
      <c r="F23" s="169"/>
      <c r="G23" s="169"/>
      <c r="H23" s="169"/>
      <c r="I23" s="169"/>
      <c r="J23" s="40">
        <f>SUM(J22)</f>
        <v>1</v>
      </c>
    </row>
    <row r="24" spans="1:10" s="1" customFormat="1" ht="16.5" customHeight="1" x14ac:dyDescent="0.2">
      <c r="A24" s="16" t="str">
        <f>'Plan. Orçamentária'!A15</f>
        <v>2.2</v>
      </c>
      <c r="B24" s="210" t="str">
        <f>'Plan. Orçamentária'!D15</f>
        <v>Locação de banheiro químico, dimensão (110x120x230)cm, linha padrão, contendo uma (1) pia/higienizador de mãos, inclusive manutenção e mobilização/desmobilização</v>
      </c>
      <c r="C24" s="210"/>
      <c r="D24" s="210"/>
      <c r="E24" s="210"/>
      <c r="F24" s="210"/>
      <c r="G24" s="210"/>
      <c r="H24" s="210"/>
      <c r="I24" s="210"/>
      <c r="J24" s="210"/>
    </row>
    <row r="25" spans="1:10" s="1" customFormat="1" ht="16.5" customHeight="1" x14ac:dyDescent="0.2">
      <c r="A25" s="191" t="s">
        <v>12</v>
      </c>
      <c r="B25" s="191"/>
      <c r="C25" s="191"/>
      <c r="D25" s="46" t="s">
        <v>13</v>
      </c>
      <c r="E25" s="46" t="s">
        <v>14</v>
      </c>
      <c r="F25" s="46" t="s">
        <v>15</v>
      </c>
      <c r="G25" s="46" t="s">
        <v>16</v>
      </c>
      <c r="H25" s="46" t="s">
        <v>17</v>
      </c>
      <c r="I25" s="46" t="s">
        <v>18</v>
      </c>
      <c r="J25" s="46" t="s">
        <v>19</v>
      </c>
    </row>
    <row r="26" spans="1:10" s="1" customFormat="1" ht="16.5" customHeight="1" x14ac:dyDescent="0.2">
      <c r="A26" s="192" t="s">
        <v>81</v>
      </c>
      <c r="B26" s="192"/>
      <c r="C26" s="192"/>
      <c r="D26" s="5"/>
      <c r="E26" s="5"/>
      <c r="F26" s="5"/>
      <c r="G26" s="5">
        <v>4</v>
      </c>
      <c r="H26" s="5"/>
      <c r="I26" s="5"/>
      <c r="J26" s="5">
        <f>((PRODUCT(D26:H26))-I26)</f>
        <v>4</v>
      </c>
    </row>
    <row r="27" spans="1:10" ht="16.5" customHeight="1" x14ac:dyDescent="0.25">
      <c r="A27" s="169" t="str">
        <f>"TOTAL - "&amp;'Plan. Orçamentária'!F15</f>
        <v>TOTAL - MÊS</v>
      </c>
      <c r="B27" s="169"/>
      <c r="C27" s="169"/>
      <c r="D27" s="169"/>
      <c r="E27" s="169"/>
      <c r="F27" s="169"/>
      <c r="G27" s="169"/>
      <c r="H27" s="169"/>
      <c r="I27" s="169"/>
      <c r="J27" s="40">
        <f>SUM(J26)</f>
        <v>4</v>
      </c>
    </row>
    <row r="28" spans="1:10" s="1" customFormat="1" ht="25.5" customHeight="1" x14ac:dyDescent="0.2">
      <c r="A28" s="16" t="str">
        <f>'Plan. Orçamentária'!A16</f>
        <v>2.3</v>
      </c>
      <c r="B28" s="166" t="str">
        <f>'Plan. Orçamentária'!D16</f>
        <v>Locação de container com isolamento térmico, tipo 1, para escritório de obra/almoxarifado, com medidas referenciais de (6) metros de comprimentos, (2,3) metros de largura, (2,5) metros de altura útil interna, inclusive ar condicionado e ligações elétricas internas</v>
      </c>
      <c r="C28" s="166"/>
      <c r="D28" s="166"/>
      <c r="E28" s="166"/>
      <c r="F28" s="166"/>
      <c r="G28" s="166"/>
      <c r="H28" s="166"/>
      <c r="I28" s="166"/>
      <c r="J28" s="166"/>
    </row>
    <row r="29" spans="1:10" s="1" customFormat="1" ht="16.5" customHeight="1" x14ac:dyDescent="0.2">
      <c r="A29" s="191" t="s">
        <v>12</v>
      </c>
      <c r="B29" s="191"/>
      <c r="C29" s="191"/>
      <c r="D29" s="46" t="s">
        <v>13</v>
      </c>
      <c r="E29" s="46" t="s">
        <v>14</v>
      </c>
      <c r="F29" s="46" t="s">
        <v>15</v>
      </c>
      <c r="G29" s="46" t="s">
        <v>16</v>
      </c>
      <c r="H29" s="46" t="s">
        <v>17</v>
      </c>
      <c r="I29" s="46" t="s">
        <v>18</v>
      </c>
      <c r="J29" s="46" t="s">
        <v>19</v>
      </c>
    </row>
    <row r="30" spans="1:10" s="1" customFormat="1" ht="16.5" customHeight="1" x14ac:dyDescent="0.2">
      <c r="A30" s="192" t="s">
        <v>82</v>
      </c>
      <c r="B30" s="192"/>
      <c r="C30" s="192"/>
      <c r="D30" s="5"/>
      <c r="E30" s="5"/>
      <c r="F30" s="5"/>
      <c r="G30" s="5">
        <v>4</v>
      </c>
      <c r="H30" s="5"/>
      <c r="I30" s="5"/>
      <c r="J30" s="5">
        <f>((PRODUCT(D30:H30))-I30)</f>
        <v>4</v>
      </c>
    </row>
    <row r="31" spans="1:10" ht="16.5" customHeight="1" x14ac:dyDescent="0.25">
      <c r="A31" s="169" t="str">
        <f>"TOTAL - "&amp;'Plan. Orçamentária'!F16</f>
        <v>TOTAL - MÊS</v>
      </c>
      <c r="B31" s="169"/>
      <c r="C31" s="169"/>
      <c r="D31" s="169"/>
      <c r="E31" s="169"/>
      <c r="F31" s="169"/>
      <c r="G31" s="169"/>
      <c r="H31" s="169"/>
      <c r="I31" s="169"/>
      <c r="J31" s="40">
        <f>SUM(J30)</f>
        <v>4</v>
      </c>
    </row>
    <row r="32" spans="1:10" s="1" customFormat="1" ht="16.5" customHeight="1" x14ac:dyDescent="0.2">
      <c r="A32" s="16" t="str">
        <f>'Plan. Orçamentária'!A17</f>
        <v>2.4</v>
      </c>
      <c r="B32" s="166" t="str">
        <f>'Plan. Orçamentária'!D17</f>
        <v>Ligações provisórias para container tipo 1 (correspondente ao código ED-16348)</v>
      </c>
      <c r="C32" s="166"/>
      <c r="D32" s="166"/>
      <c r="E32" s="166"/>
      <c r="F32" s="166"/>
      <c r="G32" s="166"/>
      <c r="H32" s="166"/>
      <c r="I32" s="166"/>
      <c r="J32" s="166"/>
    </row>
    <row r="33" spans="1:10" s="1" customFormat="1" ht="16.5" customHeight="1" x14ac:dyDescent="0.2">
      <c r="A33" s="191" t="s">
        <v>12</v>
      </c>
      <c r="B33" s="191"/>
      <c r="C33" s="191"/>
      <c r="D33" s="46" t="s">
        <v>13</v>
      </c>
      <c r="E33" s="46" t="s">
        <v>14</v>
      </c>
      <c r="F33" s="46" t="s">
        <v>15</v>
      </c>
      <c r="G33" s="46" t="s">
        <v>16</v>
      </c>
      <c r="H33" s="46" t="s">
        <v>17</v>
      </c>
      <c r="I33" s="46" t="s">
        <v>18</v>
      </c>
      <c r="J33" s="46" t="s">
        <v>19</v>
      </c>
    </row>
    <row r="34" spans="1:10" s="1" customFormat="1" ht="25.5" customHeight="1" x14ac:dyDescent="0.2">
      <c r="A34" s="192" t="s">
        <v>83</v>
      </c>
      <c r="B34" s="192"/>
      <c r="C34" s="192"/>
      <c r="D34" s="5"/>
      <c r="E34" s="5"/>
      <c r="F34" s="5"/>
      <c r="G34" s="5">
        <v>1</v>
      </c>
      <c r="H34" s="5"/>
      <c r="I34" s="5"/>
      <c r="J34" s="5">
        <f>((PRODUCT(D34:H34))-I34)</f>
        <v>1</v>
      </c>
    </row>
    <row r="35" spans="1:10" ht="16.5" customHeight="1" x14ac:dyDescent="0.25">
      <c r="A35" s="169" t="str">
        <f>"TOTAL - "&amp;'Plan. Orçamentária'!F17</f>
        <v>TOTAL - UN</v>
      </c>
      <c r="B35" s="169"/>
      <c r="C35" s="169"/>
      <c r="D35" s="169"/>
      <c r="E35" s="169"/>
      <c r="F35" s="169"/>
      <c r="G35" s="169"/>
      <c r="H35" s="169"/>
      <c r="I35" s="169"/>
      <c r="J35" s="40">
        <f>SUM(J34)</f>
        <v>1</v>
      </c>
    </row>
    <row r="36" spans="1:10" s="1" customFormat="1" ht="16.5" customHeight="1" x14ac:dyDescent="0.2">
      <c r="A36" s="16" t="str">
        <f>'Plan. Orçamentária'!A18</f>
        <v>2.5</v>
      </c>
      <c r="B36" s="166" t="str">
        <f>'Plan. Orçamentária'!D18</f>
        <v>Mobilização e desmobilização de container, inclusive instalação e transporte com caminhão guindauto (munck)</v>
      </c>
      <c r="C36" s="166"/>
      <c r="D36" s="166"/>
      <c r="E36" s="166"/>
      <c r="F36" s="166"/>
      <c r="G36" s="166"/>
      <c r="H36" s="166"/>
      <c r="I36" s="166"/>
      <c r="J36" s="166"/>
    </row>
    <row r="37" spans="1:10" s="1" customFormat="1" ht="16.5" customHeight="1" x14ac:dyDescent="0.2">
      <c r="A37" s="191" t="s">
        <v>12</v>
      </c>
      <c r="B37" s="191"/>
      <c r="C37" s="191"/>
      <c r="D37" s="46" t="s">
        <v>13</v>
      </c>
      <c r="E37" s="46" t="s">
        <v>14</v>
      </c>
      <c r="F37" s="46" t="s">
        <v>15</v>
      </c>
      <c r="G37" s="46" t="s">
        <v>16</v>
      </c>
      <c r="H37" s="46" t="s">
        <v>17</v>
      </c>
      <c r="I37" s="46" t="s">
        <v>18</v>
      </c>
      <c r="J37" s="46" t="s">
        <v>19</v>
      </c>
    </row>
    <row r="38" spans="1:10" s="1" customFormat="1" ht="16.5" customHeight="1" x14ac:dyDescent="0.2">
      <c r="A38" s="192" t="s">
        <v>84</v>
      </c>
      <c r="B38" s="192"/>
      <c r="C38" s="192"/>
      <c r="D38" s="5"/>
      <c r="E38" s="5"/>
      <c r="F38" s="5"/>
      <c r="G38" s="5">
        <v>0.7</v>
      </c>
      <c r="H38" s="5"/>
      <c r="I38" s="5"/>
      <c r="J38" s="5">
        <f>PRODUCT(D38:I38)</f>
        <v>0.7</v>
      </c>
    </row>
    <row r="39" spans="1:10" s="1" customFormat="1" ht="16.5" customHeight="1" x14ac:dyDescent="0.2">
      <c r="A39" s="192" t="s">
        <v>85</v>
      </c>
      <c r="B39" s="192"/>
      <c r="C39" s="192"/>
      <c r="D39" s="5"/>
      <c r="E39" s="5"/>
      <c r="F39" s="5"/>
      <c r="G39" s="5">
        <v>0.3</v>
      </c>
      <c r="H39" s="5"/>
      <c r="I39" s="5"/>
      <c r="J39" s="5">
        <f>PRODUCT(D39:I39)</f>
        <v>0.3</v>
      </c>
    </row>
    <row r="40" spans="1:10" ht="16.5" customHeight="1" x14ac:dyDescent="0.25">
      <c r="A40" s="169" t="str">
        <f>"TOTAL - "&amp;'Plan. Orçamentária'!F18</f>
        <v>TOTAL - UN</v>
      </c>
      <c r="B40" s="169"/>
      <c r="C40" s="169"/>
      <c r="D40" s="169"/>
      <c r="E40" s="169"/>
      <c r="F40" s="169"/>
      <c r="G40" s="169"/>
      <c r="H40" s="169"/>
      <c r="I40" s="169"/>
      <c r="J40" s="40">
        <f>SUM(J38:J39)</f>
        <v>1</v>
      </c>
    </row>
    <row r="41" spans="1:10" ht="16.5" customHeight="1" x14ac:dyDescent="0.25">
      <c r="A41" s="47">
        <f>'Plan. Orçamentária'!A20</f>
        <v>3</v>
      </c>
      <c r="B41" s="179" t="str">
        <f>'Plan. Orçamentária'!D20</f>
        <v>ADMINISTRAÇAO LOCAL</v>
      </c>
      <c r="C41" s="179"/>
      <c r="D41" s="179"/>
      <c r="E41" s="179"/>
      <c r="F41" s="179"/>
      <c r="G41" s="179"/>
      <c r="H41" s="179"/>
      <c r="I41" s="179"/>
      <c r="J41" s="179"/>
    </row>
    <row r="42" spans="1:10" s="1" customFormat="1" ht="16.5" customHeight="1" x14ac:dyDescent="0.2">
      <c r="A42" s="16" t="str">
        <f>'Plan. Orçamentária'!A21</f>
        <v>3.1</v>
      </c>
      <c r="B42" s="210" t="str">
        <f>'Plan. Orçamentária'!D21</f>
        <v>Engenheiro/Arquiteto Junior</v>
      </c>
      <c r="C42" s="210"/>
      <c r="D42" s="210"/>
      <c r="E42" s="210"/>
      <c r="F42" s="210"/>
      <c r="G42" s="210"/>
      <c r="H42" s="210"/>
      <c r="I42" s="210"/>
      <c r="J42" s="210"/>
    </row>
    <row r="43" spans="1:10" s="1" customFormat="1" ht="25.5" x14ac:dyDescent="0.2">
      <c r="A43" s="191" t="s">
        <v>12</v>
      </c>
      <c r="B43" s="191"/>
      <c r="C43" s="191"/>
      <c r="D43" s="45" t="s">
        <v>13</v>
      </c>
      <c r="E43" s="45" t="s">
        <v>14</v>
      </c>
      <c r="F43" s="50" t="s">
        <v>87</v>
      </c>
      <c r="G43" s="50" t="s">
        <v>88</v>
      </c>
      <c r="H43" s="50" t="s">
        <v>89</v>
      </c>
      <c r="I43" s="50" t="s">
        <v>27</v>
      </c>
      <c r="J43" s="45" t="s">
        <v>19</v>
      </c>
    </row>
    <row r="44" spans="1:10" s="1" customFormat="1" ht="16.5" customHeight="1" x14ac:dyDescent="0.2">
      <c r="A44" s="192" t="s">
        <v>240</v>
      </c>
      <c r="B44" s="192"/>
      <c r="C44" s="192"/>
      <c r="D44" s="5"/>
      <c r="E44" s="5"/>
      <c r="F44" s="5">
        <v>1</v>
      </c>
      <c r="G44" s="5">
        <v>22</v>
      </c>
      <c r="H44" s="5">
        <v>4</v>
      </c>
      <c r="I44" s="5"/>
      <c r="J44" s="5">
        <f>((PRODUCT(D44:H44))-I44)</f>
        <v>88</v>
      </c>
    </row>
    <row r="45" spans="1:10" ht="16.5" customHeight="1" x14ac:dyDescent="0.25">
      <c r="A45" s="169" t="str">
        <f>"TOTAL - " &amp; "H"</f>
        <v>TOTAL - H</v>
      </c>
      <c r="B45" s="169"/>
      <c r="C45" s="169"/>
      <c r="D45" s="169"/>
      <c r="E45" s="169"/>
      <c r="F45" s="169"/>
      <c r="G45" s="169"/>
      <c r="H45" s="169"/>
      <c r="I45" s="169"/>
      <c r="J45" s="40">
        <f>SUM(J44)</f>
        <v>88</v>
      </c>
    </row>
    <row r="46" spans="1:10" s="1" customFormat="1" ht="14.25" x14ac:dyDescent="0.2">
      <c r="A46" s="16" t="str">
        <f>'Plan. Orçamentária'!A22</f>
        <v>3.2</v>
      </c>
      <c r="B46" s="210" t="str">
        <f>'Plan. Orçamentária'!D22</f>
        <v>Encarregado geral com encargos complementares</v>
      </c>
      <c r="C46" s="210"/>
      <c r="D46" s="210"/>
      <c r="E46" s="210"/>
      <c r="F46" s="210"/>
      <c r="G46" s="210"/>
      <c r="H46" s="210"/>
      <c r="I46" s="210"/>
      <c r="J46" s="210"/>
    </row>
    <row r="47" spans="1:10" s="1" customFormat="1" ht="25.5" x14ac:dyDescent="0.2">
      <c r="A47" s="191" t="s">
        <v>12</v>
      </c>
      <c r="B47" s="191"/>
      <c r="C47" s="191"/>
      <c r="D47" s="45" t="s">
        <v>13</v>
      </c>
      <c r="E47" s="45" t="s">
        <v>14</v>
      </c>
      <c r="F47" s="50" t="s">
        <v>87</v>
      </c>
      <c r="G47" s="50" t="s">
        <v>88</v>
      </c>
      <c r="H47" s="50" t="s">
        <v>89</v>
      </c>
      <c r="I47" s="50" t="s">
        <v>27</v>
      </c>
      <c r="J47" s="45" t="s">
        <v>19</v>
      </c>
    </row>
    <row r="48" spans="1:10" s="1" customFormat="1" ht="16.5" customHeight="1" x14ac:dyDescent="0.2">
      <c r="A48" s="200" t="s">
        <v>241</v>
      </c>
      <c r="B48" s="201"/>
      <c r="C48" s="202"/>
      <c r="D48" s="5"/>
      <c r="E48" s="5"/>
      <c r="F48" s="5"/>
      <c r="G48" s="5"/>
      <c r="H48" s="5">
        <v>4</v>
      </c>
      <c r="I48" s="5"/>
      <c r="J48" s="5">
        <f>((PRODUCT(D48:H48))-I48)</f>
        <v>4</v>
      </c>
    </row>
    <row r="49" spans="1:10" ht="16.5" customHeight="1" x14ac:dyDescent="0.25">
      <c r="A49" s="169" t="str">
        <f>"TOTAL - " &amp; "MÊS"</f>
        <v>TOTAL - MÊS</v>
      </c>
      <c r="B49" s="169"/>
      <c r="C49" s="169"/>
      <c r="D49" s="169"/>
      <c r="E49" s="169"/>
      <c r="F49" s="169"/>
      <c r="G49" s="169"/>
      <c r="H49" s="169"/>
      <c r="I49" s="169"/>
      <c r="J49" s="40">
        <f>SUM(J48)</f>
        <v>4</v>
      </c>
    </row>
    <row r="50" spans="1:10" s="1" customFormat="1" ht="16.5" customHeight="1" x14ac:dyDescent="0.2">
      <c r="A50" s="16" t="str">
        <f>'Plan. Orçamentária'!A23</f>
        <v>3.3</v>
      </c>
      <c r="B50" s="210" t="str">
        <f>'Plan. Orçamentária'!D23</f>
        <v>Topografo com encargos complementares</v>
      </c>
      <c r="C50" s="210"/>
      <c r="D50" s="210"/>
      <c r="E50" s="210"/>
      <c r="F50" s="210"/>
      <c r="G50" s="210"/>
      <c r="H50" s="210"/>
      <c r="I50" s="210"/>
      <c r="J50" s="210"/>
    </row>
    <row r="51" spans="1:10" s="1" customFormat="1" ht="25.5" x14ac:dyDescent="0.2">
      <c r="A51" s="191" t="s">
        <v>12</v>
      </c>
      <c r="B51" s="191"/>
      <c r="C51" s="191"/>
      <c r="D51" s="45" t="s">
        <v>13</v>
      </c>
      <c r="E51" s="45" t="s">
        <v>14</v>
      </c>
      <c r="F51" s="50" t="s">
        <v>87</v>
      </c>
      <c r="G51" s="50" t="s">
        <v>88</v>
      </c>
      <c r="H51" s="50" t="s">
        <v>89</v>
      </c>
      <c r="I51" s="50" t="s">
        <v>27</v>
      </c>
      <c r="J51" s="45" t="s">
        <v>19</v>
      </c>
    </row>
    <row r="52" spans="1:10" s="1" customFormat="1" ht="16.5" customHeight="1" x14ac:dyDescent="0.2">
      <c r="A52" s="192" t="s">
        <v>242</v>
      </c>
      <c r="B52" s="192"/>
      <c r="C52" s="192"/>
      <c r="D52" s="5"/>
      <c r="E52" s="5"/>
      <c r="F52" s="5">
        <v>0.5</v>
      </c>
      <c r="G52" s="5">
        <v>22</v>
      </c>
      <c r="H52" s="5">
        <v>4</v>
      </c>
      <c r="I52" s="5"/>
      <c r="J52" s="5">
        <f>((PRODUCT(D52:H52))-I52)</f>
        <v>44</v>
      </c>
    </row>
    <row r="53" spans="1:10" ht="16.5" customHeight="1" x14ac:dyDescent="0.25">
      <c r="A53" s="169" t="str">
        <f>"TOTAL - " &amp; "H"</f>
        <v>TOTAL - H</v>
      </c>
      <c r="B53" s="169"/>
      <c r="C53" s="169"/>
      <c r="D53" s="169"/>
      <c r="E53" s="169"/>
      <c r="F53" s="169"/>
      <c r="G53" s="169"/>
      <c r="H53" s="169"/>
      <c r="I53" s="169"/>
      <c r="J53" s="40">
        <f>SUM(J52)</f>
        <v>44</v>
      </c>
    </row>
    <row r="54" spans="1:10" s="1" customFormat="1" ht="16.5" customHeight="1" x14ac:dyDescent="0.2">
      <c r="A54" s="16" t="str">
        <f>'Plan. Orçamentária'!A24</f>
        <v>3.4</v>
      </c>
      <c r="B54" s="210" t="str">
        <f>'Plan. Orçamentária'!D24</f>
        <v>Auxiliar de topógrafo com encargos complementares</v>
      </c>
      <c r="C54" s="210"/>
      <c r="D54" s="210"/>
      <c r="E54" s="210"/>
      <c r="F54" s="210"/>
      <c r="G54" s="210"/>
      <c r="H54" s="210"/>
      <c r="I54" s="210"/>
      <c r="J54" s="210"/>
    </row>
    <row r="55" spans="1:10" s="1" customFormat="1" ht="25.5" x14ac:dyDescent="0.2">
      <c r="A55" s="191" t="s">
        <v>12</v>
      </c>
      <c r="B55" s="191"/>
      <c r="C55" s="191"/>
      <c r="D55" s="45" t="s">
        <v>13</v>
      </c>
      <c r="E55" s="45" t="s">
        <v>14</v>
      </c>
      <c r="F55" s="50" t="s">
        <v>87</v>
      </c>
      <c r="G55" s="50" t="s">
        <v>88</v>
      </c>
      <c r="H55" s="50" t="s">
        <v>89</v>
      </c>
      <c r="I55" s="50" t="s">
        <v>27</v>
      </c>
      <c r="J55" s="45" t="s">
        <v>19</v>
      </c>
    </row>
    <row r="56" spans="1:10" s="1" customFormat="1" ht="16.5" customHeight="1" x14ac:dyDescent="0.2">
      <c r="A56" s="192" t="s">
        <v>243</v>
      </c>
      <c r="B56" s="192"/>
      <c r="C56" s="192"/>
      <c r="D56" s="5"/>
      <c r="E56" s="5"/>
      <c r="F56" s="5">
        <v>0.5</v>
      </c>
      <c r="G56" s="5">
        <v>22</v>
      </c>
      <c r="H56" s="5">
        <v>4</v>
      </c>
      <c r="I56" s="5"/>
      <c r="J56" s="5">
        <f>((PRODUCT(D56:H56))-I56)</f>
        <v>44</v>
      </c>
    </row>
    <row r="57" spans="1:10" ht="16.5" customHeight="1" x14ac:dyDescent="0.25">
      <c r="A57" s="169" t="str">
        <f>"TOTAL - " &amp; "H"</f>
        <v>TOTAL - H</v>
      </c>
      <c r="B57" s="169"/>
      <c r="C57" s="169"/>
      <c r="D57" s="169"/>
      <c r="E57" s="169"/>
      <c r="F57" s="169"/>
      <c r="G57" s="169"/>
      <c r="H57" s="169"/>
      <c r="I57" s="169"/>
      <c r="J57" s="40">
        <f>SUM(J56)</f>
        <v>44</v>
      </c>
    </row>
    <row r="58" spans="1:10" ht="16.5" customHeight="1" x14ac:dyDescent="0.25">
      <c r="A58" s="47">
        <f>'Plan. Orçamentária'!A26</f>
        <v>4</v>
      </c>
      <c r="B58" s="179" t="str">
        <f>'Plan. Orçamentária'!D26</f>
        <v>SINALIZAÇÃO</v>
      </c>
      <c r="C58" s="179"/>
      <c r="D58" s="179"/>
      <c r="E58" s="179"/>
      <c r="F58" s="179"/>
      <c r="G58" s="179"/>
      <c r="H58" s="179"/>
      <c r="I58" s="179"/>
      <c r="J58" s="179"/>
    </row>
    <row r="59" spans="1:10" s="1" customFormat="1" ht="24.75" customHeight="1" x14ac:dyDescent="0.2">
      <c r="A59" s="16" t="str">
        <f>'Plan. Orçamentária'!A27</f>
        <v>4.1</v>
      </c>
      <c r="B59" s="206" t="str">
        <f>'Plan. Orçamentária'!D27</f>
        <v>Placa de aço carbono com película refletiva grau técnico tipo I da ABNT, placa retangular (execução, incluindo fornecimento e transporte de todos os materiais, inclusive poste de sustentação)</v>
      </c>
      <c r="C59" s="207"/>
      <c r="D59" s="207"/>
      <c r="E59" s="207"/>
      <c r="F59" s="207"/>
      <c r="G59" s="207"/>
      <c r="H59" s="207"/>
      <c r="I59" s="207"/>
      <c r="J59" s="208"/>
    </row>
    <row r="60" spans="1:10" s="1" customFormat="1" ht="16.5" customHeight="1" x14ac:dyDescent="0.2">
      <c r="A60" s="203" t="s">
        <v>12</v>
      </c>
      <c r="B60" s="204"/>
      <c r="C60" s="205"/>
      <c r="D60" s="46" t="s">
        <v>13</v>
      </c>
      <c r="E60" s="46" t="s">
        <v>14</v>
      </c>
      <c r="F60" s="46" t="s">
        <v>15</v>
      </c>
      <c r="G60" s="46" t="s">
        <v>16</v>
      </c>
      <c r="H60" s="46" t="s">
        <v>86</v>
      </c>
      <c r="I60" s="46" t="s">
        <v>18</v>
      </c>
      <c r="J60" s="46" t="s">
        <v>19</v>
      </c>
    </row>
    <row r="61" spans="1:10" s="1" customFormat="1" ht="25.5" customHeight="1" x14ac:dyDescent="0.2">
      <c r="A61" s="200" t="s">
        <v>244</v>
      </c>
      <c r="B61" s="201"/>
      <c r="C61" s="202"/>
      <c r="D61" s="5"/>
      <c r="E61" s="5">
        <v>0.4</v>
      </c>
      <c r="F61" s="5">
        <v>1.1000000000000001</v>
      </c>
      <c r="G61" s="5">
        <v>4</v>
      </c>
      <c r="H61" s="5"/>
      <c r="I61" s="5"/>
      <c r="J61" s="5">
        <f>((PRODUCT(D61:H61))-I61)</f>
        <v>1.76</v>
      </c>
    </row>
    <row r="62" spans="1:10" s="1" customFormat="1" ht="25.5" customHeight="1" x14ac:dyDescent="0.2">
      <c r="A62" s="200" t="s">
        <v>278</v>
      </c>
      <c r="B62" s="201"/>
      <c r="C62" s="202"/>
      <c r="D62" s="5"/>
      <c r="E62" s="5">
        <v>0.4</v>
      </c>
      <c r="F62" s="5">
        <v>1.1000000000000001</v>
      </c>
      <c r="G62" s="5">
        <v>2</v>
      </c>
      <c r="H62" s="5"/>
      <c r="I62" s="5"/>
      <c r="J62" s="5">
        <f>((PRODUCT(D62:H62))-I62)</f>
        <v>0.88</v>
      </c>
    </row>
    <row r="63" spans="1:10" ht="16.5" customHeight="1" x14ac:dyDescent="0.25">
      <c r="A63" s="193" t="str">
        <f>"TOTAL - "&amp;'Plan. Orçamentária'!F27</f>
        <v>TOTAL - M2</v>
      </c>
      <c r="B63" s="194"/>
      <c r="C63" s="194"/>
      <c r="D63" s="194"/>
      <c r="E63" s="194"/>
      <c r="F63" s="194"/>
      <c r="G63" s="194"/>
      <c r="H63" s="194"/>
      <c r="I63" s="195"/>
      <c r="J63" s="40">
        <f>SUM(J61:J62)</f>
        <v>2.64</v>
      </c>
    </row>
    <row r="64" spans="1:10" s="1" customFormat="1" ht="16.5" customHeight="1" x14ac:dyDescent="0.2">
      <c r="A64" s="16" t="str">
        <f>'Plan. Orçamentária'!A28</f>
        <v>4.2</v>
      </c>
      <c r="B64" s="206" t="str">
        <f>'Plan. Orçamentária'!D28</f>
        <v>Cone para sinalização/isolamento de áreas, altura 75 cm, inclusive fornecimento e movimentação</v>
      </c>
      <c r="C64" s="207"/>
      <c r="D64" s="207"/>
      <c r="E64" s="207"/>
      <c r="F64" s="207"/>
      <c r="G64" s="207"/>
      <c r="H64" s="207"/>
      <c r="I64" s="207"/>
      <c r="J64" s="208"/>
    </row>
    <row r="65" spans="1:10" s="1" customFormat="1" ht="16.5" customHeight="1" x14ac:dyDescent="0.2">
      <c r="A65" s="203" t="s">
        <v>12</v>
      </c>
      <c r="B65" s="204"/>
      <c r="C65" s="205"/>
      <c r="D65" s="46" t="s">
        <v>13</v>
      </c>
      <c r="E65" s="46" t="s">
        <v>14</v>
      </c>
      <c r="F65" s="46" t="s">
        <v>15</v>
      </c>
      <c r="G65" s="46" t="s">
        <v>16</v>
      </c>
      <c r="H65" s="46" t="s">
        <v>86</v>
      </c>
      <c r="I65" s="46" t="s">
        <v>18</v>
      </c>
      <c r="J65" s="46" t="s">
        <v>19</v>
      </c>
    </row>
    <row r="66" spans="1:10" s="1" customFormat="1" ht="16.5" customHeight="1" x14ac:dyDescent="0.2">
      <c r="A66" s="196" t="s">
        <v>182</v>
      </c>
      <c r="B66" s="196"/>
      <c r="C66" s="196"/>
      <c r="D66" s="5"/>
      <c r="E66" s="5"/>
      <c r="F66" s="5"/>
      <c r="G66" s="5">
        <v>2</v>
      </c>
      <c r="H66" s="5"/>
      <c r="I66" s="5"/>
      <c r="J66" s="5">
        <f t="shared" ref="J66:J70" si="0">PRODUCT(G66:H66)-I66</f>
        <v>2</v>
      </c>
    </row>
    <row r="67" spans="1:10" s="1" customFormat="1" ht="16.5" customHeight="1" x14ac:dyDescent="0.2">
      <c r="A67" s="196" t="s">
        <v>183</v>
      </c>
      <c r="B67" s="196"/>
      <c r="C67" s="196"/>
      <c r="D67" s="5"/>
      <c r="E67" s="5"/>
      <c r="F67" s="5"/>
      <c r="G67" s="5">
        <v>2</v>
      </c>
      <c r="H67" s="5"/>
      <c r="I67" s="5"/>
      <c r="J67" s="5">
        <f t="shared" si="0"/>
        <v>2</v>
      </c>
    </row>
    <row r="68" spans="1:10" s="1" customFormat="1" ht="16.5" customHeight="1" x14ac:dyDescent="0.2">
      <c r="A68" s="192" t="s">
        <v>184</v>
      </c>
      <c r="B68" s="192"/>
      <c r="C68" s="192"/>
      <c r="D68" s="5"/>
      <c r="E68" s="5"/>
      <c r="F68" s="5"/>
      <c r="G68" s="5">
        <v>2</v>
      </c>
      <c r="H68" s="5"/>
      <c r="I68" s="5"/>
      <c r="J68" s="5">
        <f t="shared" si="0"/>
        <v>2</v>
      </c>
    </row>
    <row r="69" spans="1:10" s="1" customFormat="1" ht="16.5" customHeight="1" x14ac:dyDescent="0.2">
      <c r="A69" s="196" t="s">
        <v>185</v>
      </c>
      <c r="B69" s="196"/>
      <c r="C69" s="196"/>
      <c r="D69" s="5"/>
      <c r="E69" s="5"/>
      <c r="F69" s="5"/>
      <c r="G69" s="5">
        <v>2</v>
      </c>
      <c r="H69" s="5"/>
      <c r="I69" s="5"/>
      <c r="J69" s="5">
        <f t="shared" si="0"/>
        <v>2</v>
      </c>
    </row>
    <row r="70" spans="1:10" s="1" customFormat="1" ht="16.5" customHeight="1" x14ac:dyDescent="0.2">
      <c r="A70" s="196" t="s">
        <v>186</v>
      </c>
      <c r="B70" s="196"/>
      <c r="C70" s="196"/>
      <c r="D70" s="5"/>
      <c r="E70" s="5"/>
      <c r="F70" s="5"/>
      <c r="G70" s="5">
        <v>2</v>
      </c>
      <c r="H70" s="5"/>
      <c r="I70" s="5"/>
      <c r="J70" s="5">
        <f t="shared" si="0"/>
        <v>2</v>
      </c>
    </row>
    <row r="71" spans="1:10" ht="16.5" customHeight="1" x14ac:dyDescent="0.25">
      <c r="A71" s="193" t="str">
        <f>"TOTAL - "&amp;'Plan. Orçamentária'!F28</f>
        <v>TOTAL - UN</v>
      </c>
      <c r="B71" s="194"/>
      <c r="C71" s="194"/>
      <c r="D71" s="194"/>
      <c r="E71" s="194"/>
      <c r="F71" s="194"/>
      <c r="G71" s="194"/>
      <c r="H71" s="194"/>
      <c r="I71" s="195"/>
      <c r="J71" s="40">
        <f>SUM(J66:J70)</f>
        <v>10</v>
      </c>
    </row>
    <row r="72" spans="1:10" ht="16.5" customHeight="1" x14ac:dyDescent="0.25">
      <c r="A72" s="47">
        <f>'Plan. Orçamentária'!A30</f>
        <v>5</v>
      </c>
      <c r="B72" s="179" t="str">
        <f>'Plan. Orçamentária'!D30</f>
        <v>DRENAGEM PLUVIAL</v>
      </c>
      <c r="C72" s="179"/>
      <c r="D72" s="179"/>
      <c r="E72" s="179"/>
      <c r="F72" s="179"/>
      <c r="G72" s="179"/>
      <c r="H72" s="179"/>
      <c r="I72" s="179"/>
      <c r="J72" s="179"/>
    </row>
    <row r="73" spans="1:10" ht="16.5" customHeight="1" x14ac:dyDescent="0.25">
      <c r="A73" s="16" t="str">
        <f>'Plan. Orçamentária'!A31</f>
        <v>5.1</v>
      </c>
      <c r="B73" s="197" t="str">
        <f>'Plan. Orçamentária'!D31</f>
        <v>Escavação mecanizada de vala, com profundidade até 3,00m, largura menor 0,8m em solos de 1ª categoria</v>
      </c>
      <c r="C73" s="197"/>
      <c r="D73" s="197"/>
      <c r="E73" s="197"/>
      <c r="F73" s="197"/>
      <c r="G73" s="197"/>
      <c r="H73" s="197"/>
      <c r="I73" s="197"/>
      <c r="J73" s="197"/>
    </row>
    <row r="74" spans="1:10" ht="16.5" customHeight="1" x14ac:dyDescent="0.25">
      <c r="A74" s="167" t="s">
        <v>12</v>
      </c>
      <c r="B74" s="167"/>
      <c r="C74" s="167"/>
      <c r="D74" s="45" t="s">
        <v>13</v>
      </c>
      <c r="E74" s="45" t="s">
        <v>14</v>
      </c>
      <c r="F74" s="45" t="s">
        <v>15</v>
      </c>
      <c r="G74" s="45" t="s">
        <v>130</v>
      </c>
      <c r="H74" s="45" t="s">
        <v>18</v>
      </c>
      <c r="I74" s="45" t="s">
        <v>27</v>
      </c>
      <c r="J74" s="45" t="s">
        <v>19</v>
      </c>
    </row>
    <row r="75" spans="1:10" ht="16.5" customHeight="1" x14ac:dyDescent="0.25">
      <c r="A75" s="180" t="s">
        <v>279</v>
      </c>
      <c r="B75" s="180"/>
      <c r="C75" s="180"/>
      <c r="D75" s="5"/>
      <c r="E75" s="5"/>
      <c r="F75" s="5"/>
      <c r="G75" s="5"/>
      <c r="H75" s="5"/>
      <c r="I75" s="5"/>
      <c r="J75" s="5"/>
    </row>
    <row r="76" spans="1:10" ht="16.5" customHeight="1" x14ac:dyDescent="0.25">
      <c r="A76" s="168" t="s">
        <v>245</v>
      </c>
      <c r="B76" s="168"/>
      <c r="C76" s="168"/>
      <c r="D76" s="5"/>
      <c r="E76" s="5">
        <v>0.9</v>
      </c>
      <c r="F76" s="5"/>
      <c r="G76" s="5"/>
      <c r="H76" s="5">
        <v>64.709999999999994</v>
      </c>
      <c r="I76" s="5"/>
      <c r="J76" s="5">
        <f>PRODUCT(D76:H76)-I76</f>
        <v>58.24</v>
      </c>
    </row>
    <row r="77" spans="1:10" ht="16.5" customHeight="1" x14ac:dyDescent="0.25">
      <c r="A77" s="168" t="s">
        <v>246</v>
      </c>
      <c r="B77" s="168"/>
      <c r="C77" s="168"/>
      <c r="D77" s="5"/>
      <c r="E77" s="5">
        <v>0.9</v>
      </c>
      <c r="F77" s="5"/>
      <c r="G77" s="5"/>
      <c r="H77" s="5">
        <v>114.56</v>
      </c>
      <c r="I77" s="5"/>
      <c r="J77" s="5">
        <f t="shared" ref="J77:J79" si="1">PRODUCT(D77:H77)-I77</f>
        <v>103.1</v>
      </c>
    </row>
    <row r="78" spans="1:10" ht="16.5" customHeight="1" x14ac:dyDescent="0.25">
      <c r="A78" s="168" t="s">
        <v>247</v>
      </c>
      <c r="B78" s="168"/>
      <c r="C78" s="168"/>
      <c r="D78" s="5"/>
      <c r="E78" s="5">
        <v>0.9</v>
      </c>
      <c r="F78" s="5"/>
      <c r="G78" s="5"/>
      <c r="H78" s="5">
        <v>128.66999999999999</v>
      </c>
      <c r="I78" s="5"/>
      <c r="J78" s="5">
        <f t="shared" si="1"/>
        <v>115.8</v>
      </c>
    </row>
    <row r="79" spans="1:10" ht="16.5" customHeight="1" x14ac:dyDescent="0.25">
      <c r="A79" s="168" t="s">
        <v>248</v>
      </c>
      <c r="B79" s="168"/>
      <c r="C79" s="168"/>
      <c r="D79" s="5"/>
      <c r="E79" s="5">
        <v>0.9</v>
      </c>
      <c r="F79" s="5"/>
      <c r="G79" s="5"/>
      <c r="H79" s="5">
        <v>32.56</v>
      </c>
      <c r="I79" s="5"/>
      <c r="J79" s="5">
        <f t="shared" si="1"/>
        <v>29.3</v>
      </c>
    </row>
    <row r="80" spans="1:10" ht="16.5" customHeight="1" x14ac:dyDescent="0.25">
      <c r="A80" s="168" t="s">
        <v>191</v>
      </c>
      <c r="B80" s="168"/>
      <c r="C80" s="168"/>
      <c r="D80" s="5">
        <v>6.68</v>
      </c>
      <c r="E80" s="5">
        <f>0.4+0.04*2+0.11*2</f>
        <v>0.7</v>
      </c>
      <c r="F80" s="5">
        <v>1.25</v>
      </c>
      <c r="G80" s="5"/>
      <c r="H80" s="5"/>
      <c r="I80" s="5"/>
      <c r="J80" s="5">
        <f t="shared" ref="J80:J105" si="2">PRODUCT(D80:H80)-I80</f>
        <v>5.85</v>
      </c>
    </row>
    <row r="81" spans="1:10" ht="16.5" customHeight="1" x14ac:dyDescent="0.25">
      <c r="A81" s="168" t="s">
        <v>190</v>
      </c>
      <c r="B81" s="168"/>
      <c r="C81" s="168"/>
      <c r="D81" s="5">
        <v>3.59</v>
      </c>
      <c r="E81" s="5">
        <f t="shared" ref="E81:E84" si="3">0.4+0.04*2+0.11*2</f>
        <v>0.7</v>
      </c>
      <c r="F81" s="5">
        <v>1.25</v>
      </c>
      <c r="G81" s="5"/>
      <c r="H81" s="5"/>
      <c r="I81" s="5"/>
      <c r="J81" s="5">
        <f t="shared" si="2"/>
        <v>3.14</v>
      </c>
    </row>
    <row r="82" spans="1:10" ht="16.5" customHeight="1" x14ac:dyDescent="0.25">
      <c r="A82" s="168" t="s">
        <v>189</v>
      </c>
      <c r="B82" s="168"/>
      <c r="C82" s="168"/>
      <c r="D82" s="5">
        <v>4.22</v>
      </c>
      <c r="E82" s="5">
        <f t="shared" si="3"/>
        <v>0.7</v>
      </c>
      <c r="F82" s="5">
        <v>1.25</v>
      </c>
      <c r="G82" s="5"/>
      <c r="H82" s="5"/>
      <c r="I82" s="5"/>
      <c r="J82" s="5">
        <f t="shared" si="2"/>
        <v>3.69</v>
      </c>
    </row>
    <row r="83" spans="1:10" ht="16.5" customHeight="1" x14ac:dyDescent="0.25">
      <c r="A83" s="168" t="s">
        <v>188</v>
      </c>
      <c r="B83" s="168"/>
      <c r="C83" s="168"/>
      <c r="D83" s="5">
        <v>7.13</v>
      </c>
      <c r="E83" s="5">
        <f t="shared" si="3"/>
        <v>0.7</v>
      </c>
      <c r="F83" s="5">
        <v>1.25</v>
      </c>
      <c r="G83" s="5"/>
      <c r="H83" s="5"/>
      <c r="I83" s="5"/>
      <c r="J83" s="5">
        <f t="shared" si="2"/>
        <v>6.24</v>
      </c>
    </row>
    <row r="84" spans="1:10" ht="16.5" customHeight="1" x14ac:dyDescent="0.25">
      <c r="A84" s="168" t="s">
        <v>187</v>
      </c>
      <c r="B84" s="168"/>
      <c r="C84" s="168"/>
      <c r="D84" s="5">
        <v>13.16</v>
      </c>
      <c r="E84" s="5">
        <f t="shared" si="3"/>
        <v>0.7</v>
      </c>
      <c r="F84" s="5">
        <v>1.25</v>
      </c>
      <c r="G84" s="5"/>
      <c r="H84" s="5"/>
      <c r="I84" s="5"/>
      <c r="J84" s="5">
        <f t="shared" si="2"/>
        <v>11.52</v>
      </c>
    </row>
    <row r="85" spans="1:10" ht="16.5" customHeight="1" x14ac:dyDescent="0.25">
      <c r="A85" s="180" t="s">
        <v>280</v>
      </c>
      <c r="B85" s="180"/>
      <c r="C85" s="180"/>
      <c r="D85" s="5"/>
      <c r="E85" s="5"/>
      <c r="F85" s="5"/>
      <c r="G85" s="5"/>
      <c r="H85" s="5"/>
      <c r="I85" s="5"/>
      <c r="J85" s="5"/>
    </row>
    <row r="86" spans="1:10" ht="16.5" customHeight="1" x14ac:dyDescent="0.25">
      <c r="A86" s="168" t="s">
        <v>283</v>
      </c>
      <c r="B86" s="168"/>
      <c r="C86" s="168"/>
      <c r="D86" s="5">
        <v>50.93</v>
      </c>
      <c r="E86" s="5">
        <v>0.9</v>
      </c>
      <c r="F86" s="5">
        <f>MEDIAN(2.66,2.67)</f>
        <v>2.67</v>
      </c>
      <c r="G86" s="5"/>
      <c r="H86" s="5"/>
      <c r="I86" s="5"/>
      <c r="J86" s="5">
        <f t="shared" si="2"/>
        <v>122.38</v>
      </c>
    </row>
    <row r="87" spans="1:10" ht="16.5" customHeight="1" x14ac:dyDescent="0.25">
      <c r="A87" s="168" t="s">
        <v>284</v>
      </c>
      <c r="B87" s="168"/>
      <c r="C87" s="168"/>
      <c r="D87" s="5">
        <f>36.17+37.14</f>
        <v>73.31</v>
      </c>
      <c r="E87" s="5">
        <v>0.9</v>
      </c>
      <c r="F87" s="5">
        <f>MEDIAN(2.63,2.65)</f>
        <v>2.64</v>
      </c>
      <c r="G87" s="5"/>
      <c r="H87" s="5"/>
      <c r="I87" s="5"/>
      <c r="J87" s="5">
        <f t="shared" si="2"/>
        <v>174.18</v>
      </c>
    </row>
    <row r="88" spans="1:10" ht="16.5" customHeight="1" x14ac:dyDescent="0.25">
      <c r="A88" s="168" t="s">
        <v>285</v>
      </c>
      <c r="B88" s="168"/>
      <c r="C88" s="168"/>
      <c r="D88" s="5">
        <v>50.95</v>
      </c>
      <c r="E88" s="5">
        <v>0.9</v>
      </c>
      <c r="F88" s="5">
        <v>2.7</v>
      </c>
      <c r="G88" s="5"/>
      <c r="H88" s="5"/>
      <c r="I88" s="5"/>
      <c r="J88" s="5">
        <f t="shared" si="2"/>
        <v>123.81</v>
      </c>
    </row>
    <row r="89" spans="1:10" ht="16.5" customHeight="1" x14ac:dyDescent="0.25">
      <c r="A89" s="168" t="s">
        <v>286</v>
      </c>
      <c r="B89" s="168"/>
      <c r="C89" s="168"/>
      <c r="D89" s="5">
        <v>21.92</v>
      </c>
      <c r="E89" s="5">
        <v>0.9</v>
      </c>
      <c r="F89" s="5">
        <v>2.7</v>
      </c>
      <c r="G89" s="5"/>
      <c r="H89" s="5"/>
      <c r="I89" s="5"/>
      <c r="J89" s="5">
        <f t="shared" si="2"/>
        <v>53.27</v>
      </c>
    </row>
    <row r="90" spans="1:10" ht="16.5" customHeight="1" x14ac:dyDescent="0.25">
      <c r="A90" s="168" t="s">
        <v>287</v>
      </c>
      <c r="B90" s="168"/>
      <c r="C90" s="168"/>
      <c r="D90" s="5">
        <f>33.73+38.68</f>
        <v>72.41</v>
      </c>
      <c r="E90" s="5">
        <v>0.9</v>
      </c>
      <c r="F90" s="5">
        <v>2.7</v>
      </c>
      <c r="G90" s="5"/>
      <c r="H90" s="5"/>
      <c r="I90" s="5"/>
      <c r="J90" s="5">
        <f t="shared" si="2"/>
        <v>175.96</v>
      </c>
    </row>
    <row r="91" spans="1:10" ht="16.5" customHeight="1" x14ac:dyDescent="0.25">
      <c r="A91" s="168" t="s">
        <v>288</v>
      </c>
      <c r="B91" s="168"/>
      <c r="C91" s="168"/>
      <c r="D91" s="5">
        <v>5.3</v>
      </c>
      <c r="E91" s="5">
        <v>0.9</v>
      </c>
      <c r="F91" s="5">
        <f>MEDIAN(2.65,2.63)</f>
        <v>2.64</v>
      </c>
      <c r="G91" s="5"/>
      <c r="H91" s="5"/>
      <c r="I91" s="5"/>
      <c r="J91" s="5">
        <f t="shared" si="2"/>
        <v>12.59</v>
      </c>
    </row>
    <row r="92" spans="1:10" ht="16.5" customHeight="1" x14ac:dyDescent="0.25">
      <c r="A92" s="168" t="s">
        <v>289</v>
      </c>
      <c r="B92" s="168"/>
      <c r="C92" s="168"/>
      <c r="D92" s="5">
        <f>23.01+33.34+28.98</f>
        <v>85.33</v>
      </c>
      <c r="E92" s="5">
        <v>0.7</v>
      </c>
      <c r="F92" s="5">
        <f>MEDIAN(2.76,2.69)</f>
        <v>2.73</v>
      </c>
      <c r="G92" s="5"/>
      <c r="H92" s="5"/>
      <c r="I92" s="5"/>
      <c r="J92" s="5">
        <f t="shared" si="2"/>
        <v>163.07</v>
      </c>
    </row>
    <row r="93" spans="1:10" ht="16.5" customHeight="1" x14ac:dyDescent="0.25">
      <c r="A93" s="168" t="s">
        <v>290</v>
      </c>
      <c r="B93" s="168"/>
      <c r="C93" s="168"/>
      <c r="D93" s="5">
        <v>85.61</v>
      </c>
      <c r="E93" s="5">
        <v>0.7</v>
      </c>
      <c r="F93" s="5">
        <f>MEDIAN(2.7,2.66)</f>
        <v>2.68</v>
      </c>
      <c r="G93" s="5"/>
      <c r="H93" s="5"/>
      <c r="I93" s="5"/>
      <c r="J93" s="5">
        <f t="shared" si="2"/>
        <v>160.6</v>
      </c>
    </row>
    <row r="94" spans="1:10" ht="16.5" customHeight="1" x14ac:dyDescent="0.25">
      <c r="A94" s="168" t="s">
        <v>291</v>
      </c>
      <c r="B94" s="168"/>
      <c r="C94" s="168"/>
      <c r="D94" s="5">
        <v>4.7</v>
      </c>
      <c r="E94" s="5">
        <v>0.7</v>
      </c>
      <c r="F94" s="5">
        <v>1.25</v>
      </c>
      <c r="G94" s="5"/>
      <c r="H94" s="5"/>
      <c r="I94" s="5"/>
      <c r="J94" s="5">
        <f t="shared" si="2"/>
        <v>4.1100000000000003</v>
      </c>
    </row>
    <row r="95" spans="1:10" ht="16.5" customHeight="1" x14ac:dyDescent="0.25">
      <c r="A95" s="168" t="s">
        <v>292</v>
      </c>
      <c r="B95" s="168"/>
      <c r="C95" s="168"/>
      <c r="D95" s="5">
        <v>2.66</v>
      </c>
      <c r="E95" s="5">
        <v>0.7</v>
      </c>
      <c r="F95" s="5">
        <v>1.25</v>
      </c>
      <c r="G95" s="5"/>
      <c r="H95" s="5"/>
      <c r="I95" s="5"/>
      <c r="J95" s="5">
        <f t="shared" si="2"/>
        <v>2.33</v>
      </c>
    </row>
    <row r="96" spans="1:10" ht="16.5" customHeight="1" x14ac:dyDescent="0.25">
      <c r="A96" s="168" t="s">
        <v>293</v>
      </c>
      <c r="B96" s="168"/>
      <c r="C96" s="168"/>
      <c r="D96" s="5">
        <v>4.8</v>
      </c>
      <c r="E96" s="5">
        <v>0.7</v>
      </c>
      <c r="F96" s="5">
        <v>1.25</v>
      </c>
      <c r="G96" s="5"/>
      <c r="H96" s="5"/>
      <c r="I96" s="5"/>
      <c r="J96" s="5">
        <f t="shared" si="2"/>
        <v>4.2</v>
      </c>
    </row>
    <row r="97" spans="1:17" ht="16.5" customHeight="1" x14ac:dyDescent="0.25">
      <c r="A97" s="168" t="s">
        <v>294</v>
      </c>
      <c r="B97" s="168"/>
      <c r="C97" s="168"/>
      <c r="D97" s="5">
        <v>2.66</v>
      </c>
      <c r="E97" s="5">
        <v>0.7</v>
      </c>
      <c r="F97" s="5">
        <v>1.25</v>
      </c>
      <c r="G97" s="5"/>
      <c r="H97" s="5"/>
      <c r="I97" s="5"/>
      <c r="J97" s="5">
        <f t="shared" si="2"/>
        <v>2.33</v>
      </c>
    </row>
    <row r="98" spans="1:17" ht="16.5" customHeight="1" x14ac:dyDescent="0.25">
      <c r="A98" s="168" t="s">
        <v>295</v>
      </c>
      <c r="B98" s="168"/>
      <c r="C98" s="168"/>
      <c r="D98" s="5">
        <v>4.72</v>
      </c>
      <c r="E98" s="5">
        <v>0.7</v>
      </c>
      <c r="F98" s="5">
        <v>1.25</v>
      </c>
      <c r="G98" s="5"/>
      <c r="H98" s="5"/>
      <c r="I98" s="5"/>
      <c r="J98" s="5">
        <f t="shared" si="2"/>
        <v>4.13</v>
      </c>
    </row>
    <row r="99" spans="1:17" ht="16.5" customHeight="1" x14ac:dyDescent="0.25">
      <c r="A99" s="168" t="s">
        <v>296</v>
      </c>
      <c r="B99" s="168"/>
      <c r="C99" s="168"/>
      <c r="D99" s="5">
        <v>2.56</v>
      </c>
      <c r="E99" s="5">
        <v>0.7</v>
      </c>
      <c r="F99" s="5">
        <v>1.25</v>
      </c>
      <c r="G99" s="5"/>
      <c r="H99" s="5"/>
      <c r="I99" s="5"/>
      <c r="J99" s="5">
        <f t="shared" si="2"/>
        <v>2.2400000000000002</v>
      </c>
    </row>
    <row r="100" spans="1:17" ht="16.5" customHeight="1" x14ac:dyDescent="0.25">
      <c r="A100" s="168" t="s">
        <v>297</v>
      </c>
      <c r="B100" s="168"/>
      <c r="C100" s="168"/>
      <c r="D100" s="5">
        <v>4.95</v>
      </c>
      <c r="E100" s="5">
        <v>0.7</v>
      </c>
      <c r="F100" s="5">
        <v>1.25</v>
      </c>
      <c r="G100" s="5"/>
      <c r="H100" s="5"/>
      <c r="I100" s="5"/>
      <c r="J100" s="5">
        <f t="shared" si="2"/>
        <v>4.33</v>
      </c>
    </row>
    <row r="101" spans="1:17" ht="16.5" customHeight="1" x14ac:dyDescent="0.25">
      <c r="A101" s="168" t="s">
        <v>298</v>
      </c>
      <c r="B101" s="168"/>
      <c r="C101" s="168"/>
      <c r="D101" s="5">
        <v>3.7</v>
      </c>
      <c r="E101" s="5">
        <v>0.7</v>
      </c>
      <c r="F101" s="5">
        <v>1.25</v>
      </c>
      <c r="G101" s="5"/>
      <c r="H101" s="5"/>
      <c r="I101" s="5"/>
      <c r="J101" s="5">
        <f t="shared" si="2"/>
        <v>3.24</v>
      </c>
    </row>
    <row r="102" spans="1:17" ht="16.5" customHeight="1" x14ac:dyDescent="0.25">
      <c r="A102" s="168" t="s">
        <v>299</v>
      </c>
      <c r="B102" s="168"/>
      <c r="C102" s="168"/>
      <c r="D102" s="5">
        <v>4.6100000000000003</v>
      </c>
      <c r="E102" s="5">
        <v>0.7</v>
      </c>
      <c r="F102" s="5">
        <v>1.25</v>
      </c>
      <c r="G102" s="5"/>
      <c r="H102" s="5"/>
      <c r="I102" s="5"/>
      <c r="J102" s="5">
        <f t="shared" si="2"/>
        <v>4.03</v>
      </c>
    </row>
    <row r="103" spans="1:17" ht="16.5" customHeight="1" x14ac:dyDescent="0.25">
      <c r="A103" s="168" t="s">
        <v>300</v>
      </c>
      <c r="B103" s="168"/>
      <c r="C103" s="168"/>
      <c r="D103" s="5">
        <v>3.1</v>
      </c>
      <c r="E103" s="5">
        <v>0.7</v>
      </c>
      <c r="F103" s="5">
        <v>1.25</v>
      </c>
      <c r="G103" s="5"/>
      <c r="H103" s="5"/>
      <c r="I103" s="5"/>
      <c r="J103" s="5">
        <f t="shared" si="2"/>
        <v>2.71</v>
      </c>
    </row>
    <row r="104" spans="1:17" ht="16.5" customHeight="1" x14ac:dyDescent="0.25">
      <c r="A104" s="168" t="s">
        <v>301</v>
      </c>
      <c r="B104" s="168"/>
      <c r="C104" s="168"/>
      <c r="D104" s="5">
        <v>5.0999999999999996</v>
      </c>
      <c r="E104" s="5">
        <v>0.7</v>
      </c>
      <c r="F104" s="5">
        <v>1.25</v>
      </c>
      <c r="G104" s="5"/>
      <c r="H104" s="5"/>
      <c r="I104" s="5"/>
      <c r="J104" s="5">
        <f t="shared" si="2"/>
        <v>4.46</v>
      </c>
    </row>
    <row r="105" spans="1:17" ht="16.5" customHeight="1" x14ac:dyDescent="0.25">
      <c r="A105" s="168" t="s">
        <v>302</v>
      </c>
      <c r="B105" s="168"/>
      <c r="C105" s="168"/>
      <c r="D105" s="5">
        <v>2.54</v>
      </c>
      <c r="E105" s="5">
        <v>0.7</v>
      </c>
      <c r="F105" s="5">
        <v>1.25</v>
      </c>
      <c r="G105" s="5"/>
      <c r="H105" s="5"/>
      <c r="I105" s="5"/>
      <c r="J105" s="5">
        <f t="shared" si="2"/>
        <v>2.2200000000000002</v>
      </c>
    </row>
    <row r="106" spans="1:17" ht="16.5" customHeight="1" x14ac:dyDescent="0.25">
      <c r="A106" s="169" t="str">
        <f>"TOTAL - "&amp;'Plan. Orçamentária'!F31</f>
        <v>TOTAL - M3</v>
      </c>
      <c r="B106" s="169"/>
      <c r="C106" s="169"/>
      <c r="D106" s="169"/>
      <c r="E106" s="169"/>
      <c r="F106" s="169"/>
      <c r="G106" s="169"/>
      <c r="H106" s="169"/>
      <c r="I106" s="169"/>
      <c r="J106" s="40">
        <f>SUM(J76:J105)</f>
        <v>1363.07</v>
      </c>
      <c r="Q106" s="12">
        <v>139.77000000000001</v>
      </c>
    </row>
    <row r="107" spans="1:17" ht="16.5" customHeight="1" x14ac:dyDescent="0.25">
      <c r="A107" s="16" t="str">
        <f>'Plan. Orçamentária'!A32</f>
        <v>5.2</v>
      </c>
      <c r="B107" s="197" t="str">
        <f>'Plan. Orçamentária'!D32</f>
        <v>Preparo do fundo de vala com largura menor que 1,5 m</v>
      </c>
      <c r="C107" s="197"/>
      <c r="D107" s="197"/>
      <c r="E107" s="197"/>
      <c r="F107" s="197"/>
      <c r="G107" s="197"/>
      <c r="H107" s="197"/>
      <c r="I107" s="197"/>
      <c r="J107" s="197"/>
    </row>
    <row r="108" spans="1:17" ht="16.5" customHeight="1" x14ac:dyDescent="0.25">
      <c r="A108" s="167" t="s">
        <v>12</v>
      </c>
      <c r="B108" s="167"/>
      <c r="C108" s="167"/>
      <c r="D108" s="45" t="s">
        <v>13</v>
      </c>
      <c r="E108" s="45" t="s">
        <v>14</v>
      </c>
      <c r="F108" s="45" t="s">
        <v>15</v>
      </c>
      <c r="G108" s="45" t="s">
        <v>16</v>
      </c>
      <c r="H108" s="45" t="s">
        <v>18</v>
      </c>
      <c r="I108" s="45" t="s">
        <v>27</v>
      </c>
      <c r="J108" s="45" t="s">
        <v>19</v>
      </c>
    </row>
    <row r="109" spans="1:17" ht="16.5" customHeight="1" x14ac:dyDescent="0.25">
      <c r="A109" s="180" t="s">
        <v>279</v>
      </c>
      <c r="B109" s="180"/>
      <c r="C109" s="180"/>
      <c r="D109" s="5"/>
      <c r="E109" s="5"/>
      <c r="F109" s="5"/>
      <c r="G109" s="5"/>
      <c r="H109" s="5"/>
      <c r="I109" s="5"/>
      <c r="J109" s="5"/>
    </row>
    <row r="110" spans="1:17" ht="16.5" customHeight="1" x14ac:dyDescent="0.25">
      <c r="A110" s="168" t="s">
        <v>245</v>
      </c>
      <c r="B110" s="168"/>
      <c r="C110" s="168"/>
      <c r="D110" s="5">
        <v>42.92</v>
      </c>
      <c r="E110" s="5">
        <v>0.9</v>
      </c>
      <c r="F110" s="5"/>
      <c r="G110" s="5"/>
      <c r="H110" s="5"/>
      <c r="I110" s="5"/>
      <c r="J110" s="5">
        <f t="shared" ref="J110:J139" si="4">PRODUCT(D110:H110)-I110</f>
        <v>38.630000000000003</v>
      </c>
    </row>
    <row r="111" spans="1:17" ht="16.5" customHeight="1" x14ac:dyDescent="0.25">
      <c r="A111" s="168" t="s">
        <v>246</v>
      </c>
      <c r="B111" s="168"/>
      <c r="C111" s="168"/>
      <c r="D111" s="5">
        <v>69.62</v>
      </c>
      <c r="E111" s="5">
        <v>0.9</v>
      </c>
      <c r="F111" s="5"/>
      <c r="G111" s="5"/>
      <c r="H111" s="5"/>
      <c r="I111" s="5"/>
      <c r="J111" s="5">
        <f t="shared" si="4"/>
        <v>62.66</v>
      </c>
    </row>
    <row r="112" spans="1:17" ht="16.5" customHeight="1" x14ac:dyDescent="0.25">
      <c r="A112" s="168" t="s">
        <v>247</v>
      </c>
      <c r="B112" s="168"/>
      <c r="C112" s="168"/>
      <c r="D112" s="5">
        <v>67.31</v>
      </c>
      <c r="E112" s="5">
        <v>0.9</v>
      </c>
      <c r="F112" s="5"/>
      <c r="G112" s="5"/>
      <c r="H112" s="5"/>
      <c r="I112" s="5"/>
      <c r="J112" s="5">
        <f t="shared" si="4"/>
        <v>60.58</v>
      </c>
    </row>
    <row r="113" spans="1:10" ht="16.5" customHeight="1" x14ac:dyDescent="0.25">
      <c r="A113" s="168" t="s">
        <v>248</v>
      </c>
      <c r="B113" s="168"/>
      <c r="C113" s="168"/>
      <c r="D113" s="5">
        <v>19.59</v>
      </c>
      <c r="E113" s="5">
        <v>0.9</v>
      </c>
      <c r="F113" s="5"/>
      <c r="G113" s="5"/>
      <c r="H113" s="5"/>
      <c r="I113" s="5"/>
      <c r="J113" s="5">
        <f t="shared" si="4"/>
        <v>17.63</v>
      </c>
    </row>
    <row r="114" spans="1:10" ht="16.5" customHeight="1" x14ac:dyDescent="0.25">
      <c r="A114" s="168" t="s">
        <v>191</v>
      </c>
      <c r="B114" s="168"/>
      <c r="C114" s="168"/>
      <c r="D114" s="5">
        <v>6.68</v>
      </c>
      <c r="E114" s="5">
        <f>0.4+0.04*2+0.11*2</f>
        <v>0.7</v>
      </c>
      <c r="F114" s="5"/>
      <c r="G114" s="5"/>
      <c r="H114" s="5"/>
      <c r="I114" s="5"/>
      <c r="J114" s="5">
        <f t="shared" si="4"/>
        <v>4.68</v>
      </c>
    </row>
    <row r="115" spans="1:10" ht="16.5" customHeight="1" x14ac:dyDescent="0.25">
      <c r="A115" s="168" t="s">
        <v>190</v>
      </c>
      <c r="B115" s="168"/>
      <c r="C115" s="168"/>
      <c r="D115" s="5">
        <v>3.59</v>
      </c>
      <c r="E115" s="5">
        <f t="shared" ref="E115:E118" si="5">0.4+0.04*2+0.11*2</f>
        <v>0.7</v>
      </c>
      <c r="F115" s="5"/>
      <c r="G115" s="5"/>
      <c r="H115" s="5"/>
      <c r="I115" s="5"/>
      <c r="J115" s="5">
        <f t="shared" si="4"/>
        <v>2.5099999999999998</v>
      </c>
    </row>
    <row r="116" spans="1:10" ht="16.5" customHeight="1" x14ac:dyDescent="0.25">
      <c r="A116" s="168" t="s">
        <v>189</v>
      </c>
      <c r="B116" s="168"/>
      <c r="C116" s="168"/>
      <c r="D116" s="5">
        <v>4.22</v>
      </c>
      <c r="E116" s="5">
        <f t="shared" si="5"/>
        <v>0.7</v>
      </c>
      <c r="F116" s="5"/>
      <c r="G116" s="5"/>
      <c r="H116" s="5"/>
      <c r="I116" s="5"/>
      <c r="J116" s="5">
        <f t="shared" si="4"/>
        <v>2.95</v>
      </c>
    </row>
    <row r="117" spans="1:10" ht="16.5" customHeight="1" x14ac:dyDescent="0.25">
      <c r="A117" s="168" t="s">
        <v>188</v>
      </c>
      <c r="B117" s="168"/>
      <c r="C117" s="168"/>
      <c r="D117" s="5">
        <v>7.13</v>
      </c>
      <c r="E117" s="5">
        <f t="shared" si="5"/>
        <v>0.7</v>
      </c>
      <c r="F117" s="5"/>
      <c r="G117" s="5"/>
      <c r="H117" s="5"/>
      <c r="I117" s="5"/>
      <c r="J117" s="5">
        <f t="shared" si="4"/>
        <v>4.99</v>
      </c>
    </row>
    <row r="118" spans="1:10" ht="16.5" customHeight="1" x14ac:dyDescent="0.25">
      <c r="A118" s="168" t="s">
        <v>187</v>
      </c>
      <c r="B118" s="168"/>
      <c r="C118" s="168"/>
      <c r="D118" s="5">
        <v>13.16</v>
      </c>
      <c r="E118" s="5">
        <f t="shared" si="5"/>
        <v>0.7</v>
      </c>
      <c r="F118" s="5"/>
      <c r="G118" s="5"/>
      <c r="H118" s="5"/>
      <c r="I118" s="5"/>
      <c r="J118" s="5">
        <f t="shared" si="4"/>
        <v>9.2100000000000009</v>
      </c>
    </row>
    <row r="119" spans="1:10" ht="16.5" customHeight="1" x14ac:dyDescent="0.25">
      <c r="A119" s="180" t="s">
        <v>280</v>
      </c>
      <c r="B119" s="180"/>
      <c r="C119" s="180"/>
      <c r="D119" s="5"/>
      <c r="E119" s="5"/>
      <c r="F119" s="5"/>
      <c r="G119" s="5"/>
      <c r="H119" s="5"/>
      <c r="I119" s="5"/>
      <c r="J119" s="5"/>
    </row>
    <row r="120" spans="1:10" ht="16.5" customHeight="1" x14ac:dyDescent="0.25">
      <c r="A120" s="168" t="s">
        <v>283</v>
      </c>
      <c r="B120" s="168"/>
      <c r="C120" s="168"/>
      <c r="D120" s="5">
        <v>50.93</v>
      </c>
      <c r="E120" s="5">
        <v>0.9</v>
      </c>
      <c r="F120" s="5"/>
      <c r="G120" s="5"/>
      <c r="H120" s="5"/>
      <c r="I120" s="5"/>
      <c r="J120" s="5">
        <f t="shared" si="4"/>
        <v>45.84</v>
      </c>
    </row>
    <row r="121" spans="1:10" ht="16.5" customHeight="1" x14ac:dyDescent="0.25">
      <c r="A121" s="168" t="s">
        <v>284</v>
      </c>
      <c r="B121" s="168"/>
      <c r="C121" s="168"/>
      <c r="D121" s="5">
        <f>36.17+37.14</f>
        <v>73.31</v>
      </c>
      <c r="E121" s="5">
        <v>0.9</v>
      </c>
      <c r="F121" s="5"/>
      <c r="G121" s="5"/>
      <c r="H121" s="5"/>
      <c r="I121" s="5"/>
      <c r="J121" s="5">
        <f t="shared" si="4"/>
        <v>65.98</v>
      </c>
    </row>
    <row r="122" spans="1:10" ht="16.5" customHeight="1" x14ac:dyDescent="0.25">
      <c r="A122" s="168" t="s">
        <v>285</v>
      </c>
      <c r="B122" s="168"/>
      <c r="C122" s="168"/>
      <c r="D122" s="5">
        <v>50.95</v>
      </c>
      <c r="E122" s="5">
        <v>0.9</v>
      </c>
      <c r="F122" s="5"/>
      <c r="G122" s="5"/>
      <c r="H122" s="5"/>
      <c r="I122" s="5"/>
      <c r="J122" s="5">
        <f t="shared" si="4"/>
        <v>45.86</v>
      </c>
    </row>
    <row r="123" spans="1:10" ht="16.5" customHeight="1" x14ac:dyDescent="0.25">
      <c r="A123" s="168" t="s">
        <v>286</v>
      </c>
      <c r="B123" s="168"/>
      <c r="C123" s="168"/>
      <c r="D123" s="5">
        <v>21.92</v>
      </c>
      <c r="E123" s="5">
        <v>0.9</v>
      </c>
      <c r="F123" s="5"/>
      <c r="G123" s="5"/>
      <c r="H123" s="5"/>
      <c r="I123" s="5"/>
      <c r="J123" s="5">
        <f t="shared" si="4"/>
        <v>19.73</v>
      </c>
    </row>
    <row r="124" spans="1:10" ht="16.5" customHeight="1" x14ac:dyDescent="0.25">
      <c r="A124" s="168" t="s">
        <v>287</v>
      </c>
      <c r="B124" s="168"/>
      <c r="C124" s="168"/>
      <c r="D124" s="5">
        <f>33.73+38.68</f>
        <v>72.41</v>
      </c>
      <c r="E124" s="5">
        <v>0.9</v>
      </c>
      <c r="F124" s="5"/>
      <c r="G124" s="5"/>
      <c r="H124" s="5"/>
      <c r="I124" s="5"/>
      <c r="J124" s="5">
        <f t="shared" si="4"/>
        <v>65.17</v>
      </c>
    </row>
    <row r="125" spans="1:10" ht="16.5" customHeight="1" x14ac:dyDescent="0.25">
      <c r="A125" s="168" t="s">
        <v>288</v>
      </c>
      <c r="B125" s="168"/>
      <c r="C125" s="168"/>
      <c r="D125" s="5">
        <v>5.3</v>
      </c>
      <c r="E125" s="5">
        <v>0.9</v>
      </c>
      <c r="F125" s="5"/>
      <c r="G125" s="5"/>
      <c r="H125" s="5"/>
      <c r="I125" s="5"/>
      <c r="J125" s="5">
        <f t="shared" si="4"/>
        <v>4.7699999999999996</v>
      </c>
    </row>
    <row r="126" spans="1:10" ht="16.5" customHeight="1" x14ac:dyDescent="0.25">
      <c r="A126" s="168" t="s">
        <v>289</v>
      </c>
      <c r="B126" s="168"/>
      <c r="C126" s="168"/>
      <c r="D126" s="5">
        <f>23.01+33.34+28.98</f>
        <v>85.33</v>
      </c>
      <c r="E126" s="5">
        <v>0.7</v>
      </c>
      <c r="F126" s="5"/>
      <c r="G126" s="5"/>
      <c r="H126" s="5"/>
      <c r="I126" s="5"/>
      <c r="J126" s="5">
        <f t="shared" si="4"/>
        <v>59.73</v>
      </c>
    </row>
    <row r="127" spans="1:10" ht="16.5" customHeight="1" x14ac:dyDescent="0.25">
      <c r="A127" s="168" t="s">
        <v>290</v>
      </c>
      <c r="B127" s="168"/>
      <c r="C127" s="168"/>
      <c r="D127" s="5">
        <v>85.61</v>
      </c>
      <c r="E127" s="5">
        <v>0.7</v>
      </c>
      <c r="F127" s="5"/>
      <c r="G127" s="5"/>
      <c r="H127" s="5"/>
      <c r="I127" s="5"/>
      <c r="J127" s="5">
        <f t="shared" si="4"/>
        <v>59.93</v>
      </c>
    </row>
    <row r="128" spans="1:10" ht="16.5" customHeight="1" x14ac:dyDescent="0.25">
      <c r="A128" s="168" t="s">
        <v>291</v>
      </c>
      <c r="B128" s="168"/>
      <c r="C128" s="168"/>
      <c r="D128" s="5">
        <v>4.7</v>
      </c>
      <c r="E128" s="5">
        <v>0.7</v>
      </c>
      <c r="F128" s="5"/>
      <c r="G128" s="5"/>
      <c r="H128" s="5"/>
      <c r="I128" s="5"/>
      <c r="J128" s="5">
        <f t="shared" si="4"/>
        <v>3.29</v>
      </c>
    </row>
    <row r="129" spans="1:10" ht="16.5" customHeight="1" x14ac:dyDescent="0.25">
      <c r="A129" s="168" t="s">
        <v>292</v>
      </c>
      <c r="B129" s="168"/>
      <c r="C129" s="168"/>
      <c r="D129" s="5">
        <v>2.66</v>
      </c>
      <c r="E129" s="5">
        <v>0.7</v>
      </c>
      <c r="F129" s="5"/>
      <c r="G129" s="5"/>
      <c r="H129" s="5"/>
      <c r="I129" s="5"/>
      <c r="J129" s="5">
        <f t="shared" si="4"/>
        <v>1.86</v>
      </c>
    </row>
    <row r="130" spans="1:10" ht="16.5" customHeight="1" x14ac:dyDescent="0.25">
      <c r="A130" s="168" t="s">
        <v>293</v>
      </c>
      <c r="B130" s="168"/>
      <c r="C130" s="168"/>
      <c r="D130" s="5">
        <v>4.8</v>
      </c>
      <c r="E130" s="5">
        <v>0.7</v>
      </c>
      <c r="F130" s="5"/>
      <c r="G130" s="5"/>
      <c r="H130" s="5"/>
      <c r="I130" s="5"/>
      <c r="J130" s="5">
        <f t="shared" si="4"/>
        <v>3.36</v>
      </c>
    </row>
    <row r="131" spans="1:10" ht="16.5" customHeight="1" x14ac:dyDescent="0.25">
      <c r="A131" s="168" t="s">
        <v>294</v>
      </c>
      <c r="B131" s="168"/>
      <c r="C131" s="168"/>
      <c r="D131" s="5">
        <v>2.66</v>
      </c>
      <c r="E131" s="5">
        <v>0.7</v>
      </c>
      <c r="F131" s="5"/>
      <c r="G131" s="5"/>
      <c r="H131" s="5"/>
      <c r="I131" s="5"/>
      <c r="J131" s="5">
        <f t="shared" si="4"/>
        <v>1.86</v>
      </c>
    </row>
    <row r="132" spans="1:10" ht="16.5" customHeight="1" x14ac:dyDescent="0.25">
      <c r="A132" s="168" t="s">
        <v>295</v>
      </c>
      <c r="B132" s="168"/>
      <c r="C132" s="168"/>
      <c r="D132" s="5">
        <v>4.72</v>
      </c>
      <c r="E132" s="5">
        <v>0.7</v>
      </c>
      <c r="F132" s="5"/>
      <c r="G132" s="5"/>
      <c r="H132" s="5"/>
      <c r="I132" s="5"/>
      <c r="J132" s="5">
        <f t="shared" si="4"/>
        <v>3.3</v>
      </c>
    </row>
    <row r="133" spans="1:10" ht="16.5" customHeight="1" x14ac:dyDescent="0.25">
      <c r="A133" s="168" t="s">
        <v>296</v>
      </c>
      <c r="B133" s="168"/>
      <c r="C133" s="168"/>
      <c r="D133" s="5">
        <v>2.56</v>
      </c>
      <c r="E133" s="5">
        <v>0.7</v>
      </c>
      <c r="F133" s="5"/>
      <c r="G133" s="5"/>
      <c r="H133" s="5"/>
      <c r="I133" s="5"/>
      <c r="J133" s="5">
        <f t="shared" si="4"/>
        <v>1.79</v>
      </c>
    </row>
    <row r="134" spans="1:10" ht="16.5" customHeight="1" x14ac:dyDescent="0.25">
      <c r="A134" s="168" t="s">
        <v>297</v>
      </c>
      <c r="B134" s="168"/>
      <c r="C134" s="168"/>
      <c r="D134" s="5">
        <v>4.95</v>
      </c>
      <c r="E134" s="5">
        <v>0.7</v>
      </c>
      <c r="F134" s="5"/>
      <c r="G134" s="5"/>
      <c r="H134" s="5"/>
      <c r="I134" s="5"/>
      <c r="J134" s="5">
        <f t="shared" si="4"/>
        <v>3.47</v>
      </c>
    </row>
    <row r="135" spans="1:10" ht="16.5" customHeight="1" x14ac:dyDescent="0.25">
      <c r="A135" s="168" t="s">
        <v>298</v>
      </c>
      <c r="B135" s="168"/>
      <c r="C135" s="168"/>
      <c r="D135" s="5">
        <v>3.7</v>
      </c>
      <c r="E135" s="5">
        <v>0.7</v>
      </c>
      <c r="F135" s="5"/>
      <c r="G135" s="5"/>
      <c r="H135" s="5"/>
      <c r="I135" s="5"/>
      <c r="J135" s="5">
        <f t="shared" si="4"/>
        <v>2.59</v>
      </c>
    </row>
    <row r="136" spans="1:10" ht="16.5" customHeight="1" x14ac:dyDescent="0.25">
      <c r="A136" s="168" t="s">
        <v>299</v>
      </c>
      <c r="B136" s="168"/>
      <c r="C136" s="168"/>
      <c r="D136" s="5">
        <v>4.6100000000000003</v>
      </c>
      <c r="E136" s="5">
        <v>0.7</v>
      </c>
      <c r="F136" s="5"/>
      <c r="G136" s="5"/>
      <c r="H136" s="5"/>
      <c r="I136" s="5"/>
      <c r="J136" s="5">
        <f t="shared" si="4"/>
        <v>3.23</v>
      </c>
    </row>
    <row r="137" spans="1:10" ht="16.5" customHeight="1" x14ac:dyDescent="0.25">
      <c r="A137" s="168" t="s">
        <v>300</v>
      </c>
      <c r="B137" s="168"/>
      <c r="C137" s="168"/>
      <c r="D137" s="5">
        <v>3.1</v>
      </c>
      <c r="E137" s="5">
        <v>0.7</v>
      </c>
      <c r="F137" s="5"/>
      <c r="G137" s="5"/>
      <c r="H137" s="5"/>
      <c r="I137" s="5"/>
      <c r="J137" s="5">
        <f t="shared" si="4"/>
        <v>2.17</v>
      </c>
    </row>
    <row r="138" spans="1:10" ht="16.5" customHeight="1" x14ac:dyDescent="0.25">
      <c r="A138" s="168" t="s">
        <v>301</v>
      </c>
      <c r="B138" s="168"/>
      <c r="C138" s="168"/>
      <c r="D138" s="5">
        <v>5.0999999999999996</v>
      </c>
      <c r="E138" s="5">
        <v>0.7</v>
      </c>
      <c r="F138" s="5"/>
      <c r="G138" s="5"/>
      <c r="H138" s="5"/>
      <c r="I138" s="5"/>
      <c r="J138" s="5">
        <f t="shared" si="4"/>
        <v>3.57</v>
      </c>
    </row>
    <row r="139" spans="1:10" ht="16.5" customHeight="1" x14ac:dyDescent="0.25">
      <c r="A139" s="168" t="s">
        <v>302</v>
      </c>
      <c r="B139" s="168"/>
      <c r="C139" s="168"/>
      <c r="D139" s="5">
        <v>2.54</v>
      </c>
      <c r="E139" s="5">
        <v>0.7</v>
      </c>
      <c r="F139" s="5"/>
      <c r="G139" s="5"/>
      <c r="H139" s="5"/>
      <c r="I139" s="5"/>
      <c r="J139" s="5">
        <f t="shared" si="4"/>
        <v>1.78</v>
      </c>
    </row>
    <row r="140" spans="1:10" ht="16.5" customHeight="1" x14ac:dyDescent="0.25">
      <c r="A140" s="219" t="str">
        <f>"TOTAL - "&amp;'Plan. Orçamentária'!F32</f>
        <v>TOTAL - M2</v>
      </c>
      <c r="B140" s="219"/>
      <c r="C140" s="219"/>
      <c r="D140" s="219"/>
      <c r="E140" s="219"/>
      <c r="F140" s="219"/>
      <c r="G140" s="219"/>
      <c r="H140" s="219"/>
      <c r="I140" s="219"/>
      <c r="J140" s="40">
        <f>SUM(J110:J139)</f>
        <v>603.12</v>
      </c>
    </row>
    <row r="141" spans="1:10" ht="16.5" customHeight="1" x14ac:dyDescent="0.25">
      <c r="A141" s="16" t="str">
        <f>'Plan. Orçamentária'!A33</f>
        <v>5.3</v>
      </c>
      <c r="B141" s="197" t="str">
        <f>'Plan. Orçamentária'!D33</f>
        <v>Tubo de concreto armado PA1, DN 400mm, junta rígida tipo ponta e bolsa, incluindo fornecimento, assentamento e rejuntamento</v>
      </c>
      <c r="C141" s="197"/>
      <c r="D141" s="197"/>
      <c r="E141" s="197"/>
      <c r="F141" s="197"/>
      <c r="G141" s="197"/>
      <c r="H141" s="197"/>
      <c r="I141" s="197"/>
      <c r="J141" s="197"/>
    </row>
    <row r="142" spans="1:10" ht="16.5" customHeight="1" x14ac:dyDescent="0.25">
      <c r="A142" s="167" t="s">
        <v>12</v>
      </c>
      <c r="B142" s="167"/>
      <c r="C142" s="167"/>
      <c r="D142" s="45" t="s">
        <v>13</v>
      </c>
      <c r="E142" s="45" t="s">
        <v>14</v>
      </c>
      <c r="F142" s="45" t="s">
        <v>15</v>
      </c>
      <c r="G142" s="45" t="s">
        <v>16</v>
      </c>
      <c r="H142" s="45" t="s">
        <v>18</v>
      </c>
      <c r="I142" s="45" t="s">
        <v>27</v>
      </c>
      <c r="J142" s="45" t="s">
        <v>19</v>
      </c>
    </row>
    <row r="143" spans="1:10" ht="16.5" customHeight="1" x14ac:dyDescent="0.25">
      <c r="A143" s="180" t="s">
        <v>279</v>
      </c>
      <c r="B143" s="180"/>
      <c r="C143" s="180"/>
      <c r="D143" s="5"/>
      <c r="E143" s="5"/>
      <c r="F143" s="5"/>
      <c r="G143" s="5"/>
      <c r="H143" s="5"/>
      <c r="I143" s="5"/>
      <c r="J143" s="5"/>
    </row>
    <row r="144" spans="1:10" ht="16.5" customHeight="1" x14ac:dyDescent="0.25">
      <c r="A144" s="168" t="s">
        <v>191</v>
      </c>
      <c r="B144" s="168"/>
      <c r="C144" s="168"/>
      <c r="D144" s="5">
        <v>3.59</v>
      </c>
      <c r="E144" s="5"/>
      <c r="F144" s="5"/>
      <c r="G144" s="5"/>
      <c r="H144" s="5"/>
      <c r="I144" s="5"/>
      <c r="J144" s="5">
        <f t="shared" ref="J144:J163" si="6">PRODUCT(D144:H144)-I144</f>
        <v>3.59</v>
      </c>
    </row>
    <row r="145" spans="1:10" ht="16.5" customHeight="1" x14ac:dyDescent="0.25">
      <c r="A145" s="168" t="s">
        <v>190</v>
      </c>
      <c r="B145" s="168"/>
      <c r="C145" s="168"/>
      <c r="D145" s="5">
        <v>6.68</v>
      </c>
      <c r="E145" s="5"/>
      <c r="F145" s="5"/>
      <c r="G145" s="5"/>
      <c r="H145" s="5"/>
      <c r="I145" s="5"/>
      <c r="J145" s="5">
        <f t="shared" si="6"/>
        <v>6.68</v>
      </c>
    </row>
    <row r="146" spans="1:10" ht="16.5" customHeight="1" x14ac:dyDescent="0.25">
      <c r="A146" s="168" t="s">
        <v>189</v>
      </c>
      <c r="B146" s="168"/>
      <c r="C146" s="168"/>
      <c r="D146" s="5">
        <v>4.22</v>
      </c>
      <c r="E146" s="5"/>
      <c r="F146" s="5"/>
      <c r="G146" s="5"/>
      <c r="H146" s="5"/>
      <c r="I146" s="5"/>
      <c r="J146" s="5">
        <f t="shared" si="6"/>
        <v>4.22</v>
      </c>
    </row>
    <row r="147" spans="1:10" ht="16.5" customHeight="1" x14ac:dyDescent="0.25">
      <c r="A147" s="168" t="s">
        <v>188</v>
      </c>
      <c r="B147" s="168"/>
      <c r="C147" s="168"/>
      <c r="D147" s="5">
        <v>7.13</v>
      </c>
      <c r="E147" s="5"/>
      <c r="F147" s="5"/>
      <c r="G147" s="5"/>
      <c r="H147" s="5"/>
      <c r="I147" s="5"/>
      <c r="J147" s="5">
        <f t="shared" si="6"/>
        <v>7.13</v>
      </c>
    </row>
    <row r="148" spans="1:10" ht="16.5" customHeight="1" x14ac:dyDescent="0.25">
      <c r="A148" s="168" t="s">
        <v>187</v>
      </c>
      <c r="B148" s="168"/>
      <c r="C148" s="168"/>
      <c r="D148" s="5">
        <v>13.15</v>
      </c>
      <c r="E148" s="5"/>
      <c r="F148" s="5"/>
      <c r="G148" s="5"/>
      <c r="H148" s="5"/>
      <c r="I148" s="5"/>
      <c r="J148" s="5">
        <f t="shared" si="6"/>
        <v>13.15</v>
      </c>
    </row>
    <row r="149" spans="1:10" ht="16.5" customHeight="1" x14ac:dyDescent="0.25">
      <c r="A149" s="180" t="s">
        <v>280</v>
      </c>
      <c r="B149" s="180"/>
      <c r="C149" s="180"/>
      <c r="D149" s="5"/>
      <c r="E149" s="5"/>
      <c r="F149" s="5"/>
      <c r="G149" s="5"/>
      <c r="H149" s="5"/>
      <c r="I149" s="5"/>
      <c r="J149" s="5"/>
    </row>
    <row r="150" spans="1:10" ht="16.5" customHeight="1" x14ac:dyDescent="0.25">
      <c r="A150" s="168" t="s">
        <v>289</v>
      </c>
      <c r="B150" s="168"/>
      <c r="C150" s="168"/>
      <c r="D150" s="5">
        <f>23.01+33.34+28.98</f>
        <v>85.33</v>
      </c>
      <c r="E150" s="5"/>
      <c r="F150" s="5"/>
      <c r="G150" s="5"/>
      <c r="H150" s="5"/>
      <c r="I150" s="5"/>
      <c r="J150" s="5">
        <f t="shared" si="6"/>
        <v>85.33</v>
      </c>
    </row>
    <row r="151" spans="1:10" ht="16.5" customHeight="1" x14ac:dyDescent="0.25">
      <c r="A151" s="168" t="s">
        <v>290</v>
      </c>
      <c r="B151" s="168"/>
      <c r="C151" s="168"/>
      <c r="D151" s="5">
        <v>85.61</v>
      </c>
      <c r="E151" s="5"/>
      <c r="F151" s="5"/>
      <c r="G151" s="5"/>
      <c r="H151" s="5"/>
      <c r="I151" s="5"/>
      <c r="J151" s="5">
        <f t="shared" si="6"/>
        <v>85.61</v>
      </c>
    </row>
    <row r="152" spans="1:10" ht="16.5" customHeight="1" x14ac:dyDescent="0.25">
      <c r="A152" s="168" t="s">
        <v>291</v>
      </c>
      <c r="B152" s="168"/>
      <c r="C152" s="168"/>
      <c r="D152" s="5">
        <v>4.7</v>
      </c>
      <c r="E152" s="5"/>
      <c r="F152" s="5"/>
      <c r="G152" s="5"/>
      <c r="H152" s="5"/>
      <c r="I152" s="5"/>
      <c r="J152" s="5">
        <f t="shared" si="6"/>
        <v>4.7</v>
      </c>
    </row>
    <row r="153" spans="1:10" ht="16.5" customHeight="1" x14ac:dyDescent="0.25">
      <c r="A153" s="168" t="s">
        <v>292</v>
      </c>
      <c r="B153" s="168"/>
      <c r="C153" s="168"/>
      <c r="D153" s="5">
        <v>2.66</v>
      </c>
      <c r="E153" s="5"/>
      <c r="F153" s="5"/>
      <c r="G153" s="5"/>
      <c r="H153" s="5"/>
      <c r="I153" s="5"/>
      <c r="J153" s="5">
        <f t="shared" si="6"/>
        <v>2.66</v>
      </c>
    </row>
    <row r="154" spans="1:10" ht="16.5" customHeight="1" x14ac:dyDescent="0.25">
      <c r="A154" s="168" t="s">
        <v>293</v>
      </c>
      <c r="B154" s="168"/>
      <c r="C154" s="168"/>
      <c r="D154" s="5">
        <v>4.8</v>
      </c>
      <c r="E154" s="5"/>
      <c r="F154" s="5"/>
      <c r="G154" s="5"/>
      <c r="H154" s="5"/>
      <c r="I154" s="5"/>
      <c r="J154" s="5">
        <f t="shared" si="6"/>
        <v>4.8</v>
      </c>
    </row>
    <row r="155" spans="1:10" ht="16.5" customHeight="1" x14ac:dyDescent="0.25">
      <c r="A155" s="168" t="s">
        <v>294</v>
      </c>
      <c r="B155" s="168"/>
      <c r="C155" s="168"/>
      <c r="D155" s="5">
        <v>2.66</v>
      </c>
      <c r="E155" s="5"/>
      <c r="F155" s="5"/>
      <c r="G155" s="5"/>
      <c r="H155" s="5"/>
      <c r="I155" s="5"/>
      <c r="J155" s="5">
        <f t="shared" si="6"/>
        <v>2.66</v>
      </c>
    </row>
    <row r="156" spans="1:10" ht="16.5" customHeight="1" x14ac:dyDescent="0.25">
      <c r="A156" s="168" t="s">
        <v>295</v>
      </c>
      <c r="B156" s="168"/>
      <c r="C156" s="168"/>
      <c r="D156" s="5">
        <v>4.72</v>
      </c>
      <c r="E156" s="5"/>
      <c r="F156" s="5"/>
      <c r="G156" s="5"/>
      <c r="H156" s="5"/>
      <c r="I156" s="5"/>
      <c r="J156" s="5">
        <f t="shared" si="6"/>
        <v>4.72</v>
      </c>
    </row>
    <row r="157" spans="1:10" ht="16.5" customHeight="1" x14ac:dyDescent="0.25">
      <c r="A157" s="168" t="s">
        <v>296</v>
      </c>
      <c r="B157" s="168"/>
      <c r="C157" s="168"/>
      <c r="D157" s="5">
        <v>2.56</v>
      </c>
      <c r="E157" s="5"/>
      <c r="F157" s="5"/>
      <c r="G157" s="5"/>
      <c r="H157" s="5"/>
      <c r="I157" s="5"/>
      <c r="J157" s="5">
        <f t="shared" si="6"/>
        <v>2.56</v>
      </c>
    </row>
    <row r="158" spans="1:10" ht="16.5" customHeight="1" x14ac:dyDescent="0.25">
      <c r="A158" s="168" t="s">
        <v>297</v>
      </c>
      <c r="B158" s="168"/>
      <c r="C158" s="168"/>
      <c r="D158" s="5">
        <v>4.95</v>
      </c>
      <c r="E158" s="5"/>
      <c r="F158" s="5"/>
      <c r="G158" s="5"/>
      <c r="H158" s="5"/>
      <c r="I158" s="5"/>
      <c r="J158" s="5">
        <f t="shared" si="6"/>
        <v>4.95</v>
      </c>
    </row>
    <row r="159" spans="1:10" ht="16.5" customHeight="1" x14ac:dyDescent="0.25">
      <c r="A159" s="168" t="s">
        <v>298</v>
      </c>
      <c r="B159" s="168"/>
      <c r="C159" s="168"/>
      <c r="D159" s="5">
        <v>3.7</v>
      </c>
      <c r="E159" s="5"/>
      <c r="F159" s="5"/>
      <c r="G159" s="5"/>
      <c r="H159" s="5"/>
      <c r="I159" s="5"/>
      <c r="J159" s="5">
        <f t="shared" si="6"/>
        <v>3.7</v>
      </c>
    </row>
    <row r="160" spans="1:10" ht="16.5" customHeight="1" x14ac:dyDescent="0.25">
      <c r="A160" s="168" t="s">
        <v>299</v>
      </c>
      <c r="B160" s="168"/>
      <c r="C160" s="168"/>
      <c r="D160" s="5">
        <v>4.6100000000000003</v>
      </c>
      <c r="E160" s="5"/>
      <c r="F160" s="5"/>
      <c r="G160" s="5"/>
      <c r="H160" s="5"/>
      <c r="I160" s="5"/>
      <c r="J160" s="5">
        <f t="shared" si="6"/>
        <v>4.6100000000000003</v>
      </c>
    </row>
    <row r="161" spans="1:10" ht="16.5" customHeight="1" x14ac:dyDescent="0.25">
      <c r="A161" s="168" t="s">
        <v>300</v>
      </c>
      <c r="B161" s="168"/>
      <c r="C161" s="168"/>
      <c r="D161" s="5">
        <v>3.1</v>
      </c>
      <c r="E161" s="5"/>
      <c r="F161" s="5"/>
      <c r="G161" s="5"/>
      <c r="H161" s="5"/>
      <c r="I161" s="5"/>
      <c r="J161" s="5">
        <f t="shared" si="6"/>
        <v>3.1</v>
      </c>
    </row>
    <row r="162" spans="1:10" ht="16.5" customHeight="1" x14ac:dyDescent="0.25">
      <c r="A162" s="168" t="s">
        <v>301</v>
      </c>
      <c r="B162" s="168"/>
      <c r="C162" s="168"/>
      <c r="D162" s="5">
        <v>5.0999999999999996</v>
      </c>
      <c r="E162" s="5"/>
      <c r="F162" s="5"/>
      <c r="G162" s="5"/>
      <c r="H162" s="5"/>
      <c r="I162" s="5"/>
      <c r="J162" s="5">
        <f t="shared" si="6"/>
        <v>5.0999999999999996</v>
      </c>
    </row>
    <row r="163" spans="1:10" ht="16.5" customHeight="1" x14ac:dyDescent="0.25">
      <c r="A163" s="168" t="s">
        <v>302</v>
      </c>
      <c r="B163" s="168"/>
      <c r="C163" s="168"/>
      <c r="D163" s="5">
        <v>2.54</v>
      </c>
      <c r="E163" s="5"/>
      <c r="F163" s="5"/>
      <c r="G163" s="5"/>
      <c r="H163" s="5"/>
      <c r="I163" s="5"/>
      <c r="J163" s="5">
        <f t="shared" si="6"/>
        <v>2.54</v>
      </c>
    </row>
    <row r="164" spans="1:10" ht="16.5" customHeight="1" x14ac:dyDescent="0.25">
      <c r="A164" s="219" t="str">
        <f>"TOTAL - "&amp;'Plan. Orçamentária'!F33</f>
        <v>TOTAL - M</v>
      </c>
      <c r="B164" s="219"/>
      <c r="C164" s="219"/>
      <c r="D164" s="219"/>
      <c r="E164" s="219"/>
      <c r="F164" s="219"/>
      <c r="G164" s="219"/>
      <c r="H164" s="219"/>
      <c r="I164" s="219"/>
      <c r="J164" s="40">
        <f>SUM(J144:J163)</f>
        <v>251.81</v>
      </c>
    </row>
    <row r="165" spans="1:10" ht="16.5" customHeight="1" x14ac:dyDescent="0.25">
      <c r="A165" s="16" t="str">
        <f>'Plan. Orçamentária'!A34</f>
        <v>5.4</v>
      </c>
      <c r="B165" s="197" t="str">
        <f>'Plan. Orçamentária'!D34</f>
        <v>Tubo de concreto armado PA1, DN 600mm, junta rígida tipo ponta e bolsa, incluindo fornecimento, assentamento e rejuntamento</v>
      </c>
      <c r="C165" s="197"/>
      <c r="D165" s="197"/>
      <c r="E165" s="197"/>
      <c r="F165" s="197"/>
      <c r="G165" s="197"/>
      <c r="H165" s="197"/>
      <c r="I165" s="197"/>
      <c r="J165" s="197"/>
    </row>
    <row r="166" spans="1:10" ht="16.5" customHeight="1" x14ac:dyDescent="0.25">
      <c r="A166" s="167" t="s">
        <v>12</v>
      </c>
      <c r="B166" s="167"/>
      <c r="C166" s="167"/>
      <c r="D166" s="45" t="s">
        <v>13</v>
      </c>
      <c r="E166" s="45" t="s">
        <v>14</v>
      </c>
      <c r="F166" s="45" t="s">
        <v>15</v>
      </c>
      <c r="G166" s="45" t="s">
        <v>16</v>
      </c>
      <c r="H166" s="45" t="s">
        <v>18</v>
      </c>
      <c r="I166" s="45" t="s">
        <v>27</v>
      </c>
      <c r="J166" s="45" t="s">
        <v>19</v>
      </c>
    </row>
    <row r="167" spans="1:10" ht="16.5" customHeight="1" x14ac:dyDescent="0.25">
      <c r="A167" s="180" t="s">
        <v>279</v>
      </c>
      <c r="B167" s="180"/>
      <c r="C167" s="180"/>
      <c r="D167" s="5"/>
      <c r="E167" s="5"/>
      <c r="F167" s="5"/>
      <c r="G167" s="5"/>
      <c r="H167" s="5"/>
      <c r="I167" s="5"/>
      <c r="J167" s="5"/>
    </row>
    <row r="168" spans="1:10" ht="16.5" customHeight="1" x14ac:dyDescent="0.25">
      <c r="A168" s="168" t="s">
        <v>245</v>
      </c>
      <c r="B168" s="168"/>
      <c r="C168" s="168"/>
      <c r="D168" s="5">
        <v>42.92</v>
      </c>
      <c r="E168" s="101"/>
      <c r="F168" s="101"/>
      <c r="G168" s="101"/>
      <c r="H168" s="101"/>
      <c r="I168" s="101"/>
      <c r="J168" s="5">
        <f t="shared" ref="J168:J178" si="7">PRODUCT(D168:H168)-I168</f>
        <v>42.92</v>
      </c>
    </row>
    <row r="169" spans="1:10" ht="16.5" customHeight="1" x14ac:dyDescent="0.25">
      <c r="A169" s="168" t="s">
        <v>246</v>
      </c>
      <c r="B169" s="168"/>
      <c r="C169" s="168"/>
      <c r="D169" s="5">
        <v>69.62</v>
      </c>
      <c r="E169" s="101"/>
      <c r="F169" s="101"/>
      <c r="G169" s="101"/>
      <c r="H169" s="101"/>
      <c r="I169" s="101"/>
      <c r="J169" s="5">
        <f t="shared" si="7"/>
        <v>69.62</v>
      </c>
    </row>
    <row r="170" spans="1:10" ht="16.5" customHeight="1" x14ac:dyDescent="0.25">
      <c r="A170" s="168" t="s">
        <v>247</v>
      </c>
      <c r="B170" s="168"/>
      <c r="C170" s="168"/>
      <c r="D170" s="5">
        <v>67.31</v>
      </c>
      <c r="E170" s="101"/>
      <c r="F170" s="101"/>
      <c r="G170" s="101"/>
      <c r="H170" s="101"/>
      <c r="I170" s="101"/>
      <c r="J170" s="5">
        <f t="shared" si="7"/>
        <v>67.31</v>
      </c>
    </row>
    <row r="171" spans="1:10" ht="16.5" customHeight="1" x14ac:dyDescent="0.25">
      <c r="A171" s="168" t="s">
        <v>248</v>
      </c>
      <c r="B171" s="168"/>
      <c r="C171" s="168"/>
      <c r="D171" s="5">
        <v>19.59</v>
      </c>
      <c r="E171" s="101"/>
      <c r="F171" s="101"/>
      <c r="G171" s="101"/>
      <c r="H171" s="101"/>
      <c r="I171" s="101"/>
      <c r="J171" s="5">
        <f t="shared" si="7"/>
        <v>19.59</v>
      </c>
    </row>
    <row r="172" spans="1:10" ht="16.5" customHeight="1" x14ac:dyDescent="0.25">
      <c r="A172" s="180" t="s">
        <v>280</v>
      </c>
      <c r="B172" s="180"/>
      <c r="C172" s="180"/>
      <c r="D172" s="5"/>
      <c r="E172" s="5"/>
      <c r="F172" s="5"/>
      <c r="G172" s="5"/>
      <c r="H172" s="5"/>
      <c r="I172" s="5"/>
      <c r="J172" s="5"/>
    </row>
    <row r="173" spans="1:10" ht="16.5" customHeight="1" x14ac:dyDescent="0.25">
      <c r="A173" s="168" t="s">
        <v>283</v>
      </c>
      <c r="B173" s="168"/>
      <c r="C173" s="168"/>
      <c r="D173" s="5">
        <v>50.93</v>
      </c>
      <c r="E173" s="123"/>
      <c r="F173" s="123"/>
      <c r="G173" s="123"/>
      <c r="H173" s="123"/>
      <c r="I173" s="123"/>
      <c r="J173" s="5">
        <f t="shared" si="7"/>
        <v>50.93</v>
      </c>
    </row>
    <row r="174" spans="1:10" ht="16.5" customHeight="1" x14ac:dyDescent="0.25">
      <c r="A174" s="168" t="s">
        <v>284</v>
      </c>
      <c r="B174" s="168"/>
      <c r="C174" s="168"/>
      <c r="D174" s="5">
        <f>36.17+37.14</f>
        <v>73.31</v>
      </c>
      <c r="E174" s="123"/>
      <c r="F174" s="123"/>
      <c r="G174" s="123"/>
      <c r="H174" s="123"/>
      <c r="I174" s="123"/>
      <c r="J174" s="5">
        <f t="shared" si="7"/>
        <v>73.31</v>
      </c>
    </row>
    <row r="175" spans="1:10" ht="16.5" customHeight="1" x14ac:dyDescent="0.25">
      <c r="A175" s="168" t="s">
        <v>285</v>
      </c>
      <c r="B175" s="168"/>
      <c r="C175" s="168"/>
      <c r="D175" s="5">
        <v>50.95</v>
      </c>
      <c r="E175" s="123"/>
      <c r="F175" s="123"/>
      <c r="G175" s="123"/>
      <c r="H175" s="123"/>
      <c r="I175" s="123"/>
      <c r="J175" s="5">
        <f t="shared" si="7"/>
        <v>50.95</v>
      </c>
    </row>
    <row r="176" spans="1:10" ht="16.5" customHeight="1" x14ac:dyDescent="0.25">
      <c r="A176" s="168" t="s">
        <v>286</v>
      </c>
      <c r="B176" s="168"/>
      <c r="C176" s="168"/>
      <c r="D176" s="5">
        <v>21.92</v>
      </c>
      <c r="E176" s="123"/>
      <c r="F176" s="123"/>
      <c r="G176" s="123"/>
      <c r="H176" s="123"/>
      <c r="I176" s="123"/>
      <c r="J176" s="5">
        <f t="shared" si="7"/>
        <v>21.92</v>
      </c>
    </row>
    <row r="177" spans="1:14" ht="16.5" customHeight="1" x14ac:dyDescent="0.25">
      <c r="A177" s="168" t="s">
        <v>287</v>
      </c>
      <c r="B177" s="168"/>
      <c r="C177" s="168"/>
      <c r="D177" s="5">
        <f>33.73+38.68</f>
        <v>72.41</v>
      </c>
      <c r="E177" s="123"/>
      <c r="F177" s="123"/>
      <c r="G177" s="123"/>
      <c r="H177" s="123"/>
      <c r="I177" s="123"/>
      <c r="J177" s="5">
        <f t="shared" si="7"/>
        <v>72.41</v>
      </c>
    </row>
    <row r="178" spans="1:14" ht="16.5" customHeight="1" x14ac:dyDescent="0.25">
      <c r="A178" s="168" t="s">
        <v>288</v>
      </c>
      <c r="B178" s="168"/>
      <c r="C178" s="168"/>
      <c r="D178" s="5">
        <v>5.3</v>
      </c>
      <c r="E178" s="123"/>
      <c r="F178" s="123"/>
      <c r="G178" s="123"/>
      <c r="H178" s="123"/>
      <c r="I178" s="123"/>
      <c r="J178" s="5">
        <f t="shared" si="7"/>
        <v>5.3</v>
      </c>
    </row>
    <row r="179" spans="1:14" ht="16.5" customHeight="1" x14ac:dyDescent="0.25">
      <c r="A179" s="219" t="str">
        <f>"TOTAL - "&amp;'Plan. Orçamentária'!F34</f>
        <v>TOTAL - M</v>
      </c>
      <c r="B179" s="219"/>
      <c r="C179" s="219"/>
      <c r="D179" s="219"/>
      <c r="E179" s="219"/>
      <c r="F179" s="219"/>
      <c r="G179" s="219"/>
      <c r="H179" s="219"/>
      <c r="I179" s="219"/>
      <c r="J179" s="40">
        <f>SUM(J168:J178)</f>
        <v>474.26</v>
      </c>
    </row>
    <row r="180" spans="1:14" ht="16.5" customHeight="1" x14ac:dyDescent="0.25">
      <c r="A180" s="16" t="str">
        <f>'Plan. Orçamentária'!A35</f>
        <v>5.5</v>
      </c>
      <c r="B180" s="197" t="str">
        <f>'Plan. Orçamentária'!D35</f>
        <v>Reaterro de vala com compactação mecânica através de placa vibratória</v>
      </c>
      <c r="C180" s="197"/>
      <c r="D180" s="197"/>
      <c r="E180" s="197"/>
      <c r="F180" s="197"/>
      <c r="G180" s="197"/>
      <c r="H180" s="197"/>
      <c r="I180" s="197"/>
      <c r="J180" s="197"/>
    </row>
    <row r="181" spans="1:14" ht="25.5" customHeight="1" x14ac:dyDescent="0.25">
      <c r="A181" s="167" t="s">
        <v>12</v>
      </c>
      <c r="B181" s="167"/>
      <c r="C181" s="167"/>
      <c r="D181" s="167" t="s">
        <v>138</v>
      </c>
      <c r="E181" s="167"/>
      <c r="F181" s="167"/>
      <c r="G181" s="167" t="s">
        <v>139</v>
      </c>
      <c r="H181" s="222" t="s">
        <v>18</v>
      </c>
      <c r="I181" s="167" t="s">
        <v>27</v>
      </c>
      <c r="J181" s="167" t="s">
        <v>19</v>
      </c>
    </row>
    <row r="182" spans="1:14" ht="25.5" customHeight="1" x14ac:dyDescent="0.25">
      <c r="A182" s="167"/>
      <c r="B182" s="167"/>
      <c r="C182" s="167"/>
      <c r="D182" s="104" t="s">
        <v>13</v>
      </c>
      <c r="E182" s="104" t="s">
        <v>249</v>
      </c>
      <c r="F182" s="104" t="s">
        <v>140</v>
      </c>
      <c r="G182" s="167"/>
      <c r="H182" s="223"/>
      <c r="I182" s="167"/>
      <c r="J182" s="167"/>
    </row>
    <row r="183" spans="1:14" ht="16.5" customHeight="1" x14ac:dyDescent="0.25">
      <c r="A183" s="180" t="s">
        <v>279</v>
      </c>
      <c r="B183" s="180"/>
      <c r="C183" s="180"/>
      <c r="D183" s="5"/>
      <c r="E183" s="5"/>
      <c r="F183" s="5"/>
      <c r="G183" s="5"/>
      <c r="H183" s="5"/>
      <c r="I183" s="5"/>
      <c r="J183" s="5"/>
    </row>
    <row r="184" spans="1:14" ht="16.5" customHeight="1" x14ac:dyDescent="0.25">
      <c r="A184" s="168" t="s">
        <v>245</v>
      </c>
      <c r="B184" s="168"/>
      <c r="C184" s="168"/>
      <c r="D184" s="5">
        <v>42.92</v>
      </c>
      <c r="E184" s="110">
        <f>(((0.71*0.71)*3.14)/4)</f>
        <v>0.39572000000000002</v>
      </c>
      <c r="F184" s="51">
        <f>D184*E184</f>
        <v>16.984000000000002</v>
      </c>
      <c r="G184" s="184">
        <f>SUM(J76:J84)</f>
        <v>336.88</v>
      </c>
      <c r="H184" s="184"/>
      <c r="I184" s="184"/>
      <c r="J184" s="184">
        <f>G184-F193</f>
        <v>251.67</v>
      </c>
      <c r="L184" s="53"/>
      <c r="N184" s="53"/>
    </row>
    <row r="185" spans="1:14" ht="16.5" customHeight="1" x14ac:dyDescent="0.25">
      <c r="A185" s="168" t="s">
        <v>246</v>
      </c>
      <c r="B185" s="168"/>
      <c r="C185" s="168"/>
      <c r="D185" s="5">
        <v>69.62</v>
      </c>
      <c r="E185" s="110">
        <f t="shared" ref="E185:E187" si="8">(((0.71*0.71)*3.14)/4)</f>
        <v>0.39572000000000002</v>
      </c>
      <c r="F185" s="51">
        <f t="shared" ref="F185:F192" si="9">D185*E185</f>
        <v>27.55</v>
      </c>
      <c r="G185" s="185"/>
      <c r="H185" s="185"/>
      <c r="I185" s="185"/>
      <c r="J185" s="185"/>
      <c r="L185" s="53"/>
      <c r="N185" s="53"/>
    </row>
    <row r="186" spans="1:14" ht="16.5" customHeight="1" x14ac:dyDescent="0.25">
      <c r="A186" s="168" t="s">
        <v>247</v>
      </c>
      <c r="B186" s="168"/>
      <c r="C186" s="168"/>
      <c r="D186" s="5">
        <v>67.31</v>
      </c>
      <c r="E186" s="110">
        <f t="shared" si="8"/>
        <v>0.39572000000000002</v>
      </c>
      <c r="F186" s="51">
        <f t="shared" si="9"/>
        <v>26.635999999999999</v>
      </c>
      <c r="G186" s="185"/>
      <c r="H186" s="185"/>
      <c r="I186" s="185"/>
      <c r="J186" s="185"/>
      <c r="L186" s="53"/>
      <c r="N186" s="53"/>
    </row>
    <row r="187" spans="1:14" ht="16.5" customHeight="1" x14ac:dyDescent="0.25">
      <c r="A187" s="168" t="s">
        <v>248</v>
      </c>
      <c r="B187" s="168"/>
      <c r="C187" s="168"/>
      <c r="D187" s="5">
        <v>19.59</v>
      </c>
      <c r="E187" s="110">
        <f t="shared" si="8"/>
        <v>0.39572000000000002</v>
      </c>
      <c r="F187" s="51">
        <f t="shared" si="9"/>
        <v>7.7519999999999998</v>
      </c>
      <c r="G187" s="185"/>
      <c r="H187" s="185"/>
      <c r="I187" s="185"/>
      <c r="J187" s="185"/>
      <c r="L187" s="53"/>
      <c r="N187" s="53"/>
    </row>
    <row r="188" spans="1:14" ht="16.5" customHeight="1" x14ac:dyDescent="0.25">
      <c r="A188" s="199" t="s">
        <v>191</v>
      </c>
      <c r="B188" s="199"/>
      <c r="C188" s="199"/>
      <c r="D188" s="108">
        <v>3.59</v>
      </c>
      <c r="E188" s="109">
        <f>(((0.48*0.48)*3.14)/4)</f>
        <v>0.18085999999999999</v>
      </c>
      <c r="F188" s="51">
        <f t="shared" si="9"/>
        <v>0.64900000000000002</v>
      </c>
      <c r="G188" s="185"/>
      <c r="H188" s="185"/>
      <c r="I188" s="185"/>
      <c r="J188" s="185"/>
      <c r="L188" s="53"/>
      <c r="N188" s="53"/>
    </row>
    <row r="189" spans="1:14" ht="16.5" customHeight="1" x14ac:dyDescent="0.25">
      <c r="A189" s="168" t="s">
        <v>190</v>
      </c>
      <c r="B189" s="168"/>
      <c r="C189" s="168"/>
      <c r="D189" s="5">
        <v>6.68</v>
      </c>
      <c r="E189" s="109">
        <f t="shared" ref="E189:E192" si="10">(((0.48*0.48)*3.14)/4)</f>
        <v>0.18085999999999999</v>
      </c>
      <c r="F189" s="51">
        <f t="shared" si="9"/>
        <v>1.208</v>
      </c>
      <c r="G189" s="185"/>
      <c r="H189" s="185"/>
      <c r="I189" s="185"/>
      <c r="J189" s="185"/>
      <c r="L189" s="53"/>
      <c r="N189" s="53"/>
    </row>
    <row r="190" spans="1:14" ht="16.5" customHeight="1" x14ac:dyDescent="0.25">
      <c r="A190" s="168" t="s">
        <v>189</v>
      </c>
      <c r="B190" s="168"/>
      <c r="C190" s="168"/>
      <c r="D190" s="5">
        <v>4.22</v>
      </c>
      <c r="E190" s="109">
        <f t="shared" si="10"/>
        <v>0.18085999999999999</v>
      </c>
      <c r="F190" s="51">
        <f t="shared" si="9"/>
        <v>0.76300000000000001</v>
      </c>
      <c r="G190" s="185"/>
      <c r="H190" s="185"/>
      <c r="I190" s="185"/>
      <c r="J190" s="185"/>
      <c r="L190" s="53"/>
      <c r="N190" s="53"/>
    </row>
    <row r="191" spans="1:14" ht="16.5" customHeight="1" x14ac:dyDescent="0.25">
      <c r="A191" s="168" t="s">
        <v>188</v>
      </c>
      <c r="B191" s="168"/>
      <c r="C191" s="168"/>
      <c r="D191" s="5">
        <v>7.13</v>
      </c>
      <c r="E191" s="109">
        <f t="shared" si="10"/>
        <v>0.18085999999999999</v>
      </c>
      <c r="F191" s="51">
        <f t="shared" si="9"/>
        <v>1.29</v>
      </c>
      <c r="G191" s="185"/>
      <c r="H191" s="185"/>
      <c r="I191" s="185"/>
      <c r="J191" s="185"/>
      <c r="L191" s="53"/>
      <c r="N191" s="53"/>
    </row>
    <row r="192" spans="1:14" ht="16.5" customHeight="1" x14ac:dyDescent="0.25">
      <c r="A192" s="168" t="s">
        <v>187</v>
      </c>
      <c r="B192" s="168"/>
      <c r="C192" s="168"/>
      <c r="D192" s="5">
        <v>13.15</v>
      </c>
      <c r="E192" s="109">
        <f t="shared" si="10"/>
        <v>0.18085999999999999</v>
      </c>
      <c r="F192" s="51">
        <f t="shared" si="9"/>
        <v>2.3780000000000001</v>
      </c>
      <c r="G192" s="185"/>
      <c r="H192" s="185"/>
      <c r="I192" s="185"/>
      <c r="J192" s="185"/>
      <c r="L192" s="53"/>
      <c r="N192" s="53"/>
    </row>
    <row r="193" spans="1:14" ht="16.5" customHeight="1" x14ac:dyDescent="0.25">
      <c r="A193" s="187" t="s">
        <v>250</v>
      </c>
      <c r="B193" s="188"/>
      <c r="C193" s="188"/>
      <c r="D193" s="188"/>
      <c r="E193" s="189"/>
      <c r="F193" s="5">
        <f>SUM(F184:F192)</f>
        <v>85.21</v>
      </c>
      <c r="G193" s="186"/>
      <c r="H193" s="186"/>
      <c r="I193" s="186"/>
      <c r="J193" s="186"/>
      <c r="L193" s="53"/>
      <c r="N193" s="53"/>
    </row>
    <row r="194" spans="1:14" ht="16.5" customHeight="1" x14ac:dyDescent="0.25">
      <c r="A194" s="180" t="s">
        <v>280</v>
      </c>
      <c r="B194" s="180"/>
      <c r="C194" s="180"/>
      <c r="D194" s="5"/>
      <c r="E194" s="5"/>
      <c r="F194" s="5"/>
      <c r="G194" s="5"/>
      <c r="H194" s="5"/>
      <c r="I194" s="5"/>
      <c r="J194" s="5"/>
    </row>
    <row r="195" spans="1:14" ht="16.5" customHeight="1" x14ac:dyDescent="0.25">
      <c r="A195" s="168" t="s">
        <v>283</v>
      </c>
      <c r="B195" s="168"/>
      <c r="C195" s="168"/>
      <c r="D195" s="5">
        <v>50.93</v>
      </c>
      <c r="E195" s="110">
        <f>(((0.71*0.71)*3.14)/4)</f>
        <v>0.39572000000000002</v>
      </c>
      <c r="F195" s="51">
        <f>D195*E195</f>
        <v>20.154</v>
      </c>
      <c r="G195" s="184">
        <f>SUM(J86:J105)</f>
        <v>1026.19</v>
      </c>
      <c r="H195" s="184"/>
      <c r="I195" s="184"/>
      <c r="J195" s="184">
        <f>G195-F215</f>
        <v>878.19</v>
      </c>
      <c r="L195" s="53"/>
      <c r="N195" s="53"/>
    </row>
    <row r="196" spans="1:14" ht="16.5" customHeight="1" x14ac:dyDescent="0.25">
      <c r="A196" s="168" t="s">
        <v>284</v>
      </c>
      <c r="B196" s="168"/>
      <c r="C196" s="168"/>
      <c r="D196" s="5">
        <f>36.17+37.14</f>
        <v>73.31</v>
      </c>
      <c r="E196" s="110">
        <f t="shared" ref="E196:E200" si="11">(((0.71*0.71)*3.14)/4)</f>
        <v>0.39572000000000002</v>
      </c>
      <c r="F196" s="51">
        <f t="shared" ref="F196:F214" si="12">D196*E196</f>
        <v>29.01</v>
      </c>
      <c r="G196" s="185"/>
      <c r="H196" s="185"/>
      <c r="I196" s="185"/>
      <c r="J196" s="185"/>
      <c r="L196" s="53"/>
      <c r="N196" s="53"/>
    </row>
    <row r="197" spans="1:14" ht="16.5" customHeight="1" x14ac:dyDescent="0.25">
      <c r="A197" s="168" t="s">
        <v>285</v>
      </c>
      <c r="B197" s="168"/>
      <c r="C197" s="168"/>
      <c r="D197" s="5">
        <v>50.95</v>
      </c>
      <c r="E197" s="110">
        <f t="shared" si="11"/>
        <v>0.39572000000000002</v>
      </c>
      <c r="F197" s="51">
        <f t="shared" si="12"/>
        <v>20.161999999999999</v>
      </c>
      <c r="G197" s="185"/>
      <c r="H197" s="185"/>
      <c r="I197" s="185"/>
      <c r="J197" s="185"/>
      <c r="L197" s="53"/>
      <c r="N197" s="53"/>
    </row>
    <row r="198" spans="1:14" ht="16.5" customHeight="1" x14ac:dyDescent="0.25">
      <c r="A198" s="168" t="s">
        <v>286</v>
      </c>
      <c r="B198" s="168"/>
      <c r="C198" s="168"/>
      <c r="D198" s="5">
        <v>21.92</v>
      </c>
      <c r="E198" s="110">
        <f t="shared" si="11"/>
        <v>0.39572000000000002</v>
      </c>
      <c r="F198" s="51">
        <f t="shared" si="12"/>
        <v>8.6739999999999995</v>
      </c>
      <c r="G198" s="185"/>
      <c r="H198" s="185"/>
      <c r="I198" s="185"/>
      <c r="J198" s="185"/>
      <c r="L198" s="53"/>
      <c r="N198" s="53"/>
    </row>
    <row r="199" spans="1:14" ht="16.5" customHeight="1" x14ac:dyDescent="0.25">
      <c r="A199" s="168" t="s">
        <v>287</v>
      </c>
      <c r="B199" s="168"/>
      <c r="C199" s="168"/>
      <c r="D199" s="5">
        <f>33.73+38.68</f>
        <v>72.41</v>
      </c>
      <c r="E199" s="110">
        <f t="shared" si="11"/>
        <v>0.39572000000000002</v>
      </c>
      <c r="F199" s="51">
        <f t="shared" si="12"/>
        <v>28.654</v>
      </c>
      <c r="G199" s="185"/>
      <c r="H199" s="185"/>
      <c r="I199" s="185"/>
      <c r="J199" s="185"/>
      <c r="L199" s="53"/>
      <c r="N199" s="53"/>
    </row>
    <row r="200" spans="1:14" ht="16.5" customHeight="1" x14ac:dyDescent="0.25">
      <c r="A200" s="168" t="s">
        <v>288</v>
      </c>
      <c r="B200" s="168"/>
      <c r="C200" s="168"/>
      <c r="D200" s="5">
        <v>5.3</v>
      </c>
      <c r="E200" s="110">
        <f t="shared" si="11"/>
        <v>0.39572000000000002</v>
      </c>
      <c r="F200" s="51">
        <f t="shared" si="12"/>
        <v>2.097</v>
      </c>
      <c r="G200" s="185"/>
      <c r="H200" s="185"/>
      <c r="I200" s="185"/>
      <c r="J200" s="185"/>
      <c r="L200" s="53"/>
      <c r="N200" s="53"/>
    </row>
    <row r="201" spans="1:14" ht="16.5" customHeight="1" x14ac:dyDescent="0.25">
      <c r="A201" s="168" t="s">
        <v>289</v>
      </c>
      <c r="B201" s="168"/>
      <c r="C201" s="168"/>
      <c r="D201" s="5">
        <f>23.01+33.34+28.98</f>
        <v>85.33</v>
      </c>
      <c r="E201" s="109">
        <f>(((0.48*0.48)*3.14)/4)</f>
        <v>0.18085999999999999</v>
      </c>
      <c r="F201" s="51">
        <f t="shared" si="12"/>
        <v>15.433</v>
      </c>
      <c r="G201" s="185"/>
      <c r="H201" s="185"/>
      <c r="I201" s="185"/>
      <c r="J201" s="185"/>
      <c r="L201" s="53"/>
      <c r="N201" s="53"/>
    </row>
    <row r="202" spans="1:14" ht="16.5" customHeight="1" x14ac:dyDescent="0.25">
      <c r="A202" s="168" t="s">
        <v>290</v>
      </c>
      <c r="B202" s="168"/>
      <c r="C202" s="168"/>
      <c r="D202" s="5">
        <v>85.61</v>
      </c>
      <c r="E202" s="109">
        <f t="shared" ref="E202:E214" si="13">(((0.48*0.48)*3.14)/4)</f>
        <v>0.18085999999999999</v>
      </c>
      <c r="F202" s="51">
        <f t="shared" si="12"/>
        <v>15.483000000000001</v>
      </c>
      <c r="G202" s="185"/>
      <c r="H202" s="185"/>
      <c r="I202" s="185"/>
      <c r="J202" s="185"/>
      <c r="L202" s="53"/>
      <c r="N202" s="53"/>
    </row>
    <row r="203" spans="1:14" ht="16.5" customHeight="1" x14ac:dyDescent="0.25">
      <c r="A203" s="168" t="s">
        <v>291</v>
      </c>
      <c r="B203" s="168"/>
      <c r="C203" s="168"/>
      <c r="D203" s="5">
        <v>4.7</v>
      </c>
      <c r="E203" s="109">
        <f t="shared" si="13"/>
        <v>0.18085999999999999</v>
      </c>
      <c r="F203" s="51">
        <f t="shared" si="12"/>
        <v>0.85</v>
      </c>
      <c r="G203" s="185"/>
      <c r="H203" s="185"/>
      <c r="I203" s="185"/>
      <c r="J203" s="185"/>
      <c r="L203" s="53"/>
      <c r="N203" s="53"/>
    </row>
    <row r="204" spans="1:14" ht="16.5" customHeight="1" x14ac:dyDescent="0.25">
      <c r="A204" s="168" t="s">
        <v>292</v>
      </c>
      <c r="B204" s="168"/>
      <c r="C204" s="168"/>
      <c r="D204" s="5">
        <v>2.66</v>
      </c>
      <c r="E204" s="109">
        <f t="shared" si="13"/>
        <v>0.18085999999999999</v>
      </c>
      <c r="F204" s="51">
        <f t="shared" si="12"/>
        <v>0.48099999999999998</v>
      </c>
      <c r="G204" s="185"/>
      <c r="H204" s="185"/>
      <c r="I204" s="185"/>
      <c r="J204" s="185"/>
      <c r="L204" s="53"/>
      <c r="N204" s="53"/>
    </row>
    <row r="205" spans="1:14" ht="16.5" customHeight="1" x14ac:dyDescent="0.25">
      <c r="A205" s="168" t="s">
        <v>293</v>
      </c>
      <c r="B205" s="168"/>
      <c r="C205" s="168"/>
      <c r="D205" s="5">
        <v>4.8</v>
      </c>
      <c r="E205" s="109">
        <f t="shared" si="13"/>
        <v>0.18085999999999999</v>
      </c>
      <c r="F205" s="51">
        <f t="shared" si="12"/>
        <v>0.86799999999999999</v>
      </c>
      <c r="G205" s="185"/>
      <c r="H205" s="185"/>
      <c r="I205" s="185"/>
      <c r="J205" s="185"/>
      <c r="L205" s="53"/>
      <c r="N205" s="53"/>
    </row>
    <row r="206" spans="1:14" ht="16.5" customHeight="1" x14ac:dyDescent="0.25">
      <c r="A206" s="168" t="s">
        <v>294</v>
      </c>
      <c r="B206" s="168"/>
      <c r="C206" s="168"/>
      <c r="D206" s="5">
        <v>2.66</v>
      </c>
      <c r="E206" s="109">
        <f t="shared" si="13"/>
        <v>0.18085999999999999</v>
      </c>
      <c r="F206" s="51">
        <f t="shared" si="12"/>
        <v>0.48099999999999998</v>
      </c>
      <c r="G206" s="185"/>
      <c r="H206" s="185"/>
      <c r="I206" s="185"/>
      <c r="J206" s="185"/>
      <c r="L206" s="53"/>
      <c r="N206" s="53"/>
    </row>
    <row r="207" spans="1:14" ht="16.5" customHeight="1" x14ac:dyDescent="0.25">
      <c r="A207" s="168" t="s">
        <v>295</v>
      </c>
      <c r="B207" s="168"/>
      <c r="C207" s="168"/>
      <c r="D207" s="5">
        <v>4.72</v>
      </c>
      <c r="E207" s="109">
        <f t="shared" si="13"/>
        <v>0.18085999999999999</v>
      </c>
      <c r="F207" s="51">
        <f t="shared" si="12"/>
        <v>0.85399999999999998</v>
      </c>
      <c r="G207" s="185"/>
      <c r="H207" s="185"/>
      <c r="I207" s="185"/>
      <c r="J207" s="185"/>
      <c r="L207" s="53"/>
      <c r="N207" s="53"/>
    </row>
    <row r="208" spans="1:14" ht="16.5" customHeight="1" x14ac:dyDescent="0.25">
      <c r="A208" s="168" t="s">
        <v>296</v>
      </c>
      <c r="B208" s="168"/>
      <c r="C208" s="168"/>
      <c r="D208" s="5">
        <v>2.56</v>
      </c>
      <c r="E208" s="109">
        <f t="shared" si="13"/>
        <v>0.18085999999999999</v>
      </c>
      <c r="F208" s="51">
        <f t="shared" si="12"/>
        <v>0.46300000000000002</v>
      </c>
      <c r="G208" s="185"/>
      <c r="H208" s="185"/>
      <c r="I208" s="185"/>
      <c r="J208" s="185"/>
      <c r="L208" s="53"/>
      <c r="N208" s="53"/>
    </row>
    <row r="209" spans="1:14" ht="16.5" customHeight="1" x14ac:dyDescent="0.25">
      <c r="A209" s="168" t="s">
        <v>297</v>
      </c>
      <c r="B209" s="168"/>
      <c r="C209" s="168"/>
      <c r="D209" s="5">
        <v>4.95</v>
      </c>
      <c r="E209" s="109">
        <f t="shared" si="13"/>
        <v>0.18085999999999999</v>
      </c>
      <c r="F209" s="51">
        <f t="shared" si="12"/>
        <v>0.89500000000000002</v>
      </c>
      <c r="G209" s="185"/>
      <c r="H209" s="185"/>
      <c r="I209" s="185"/>
      <c r="J209" s="185"/>
      <c r="L209" s="53"/>
      <c r="N209" s="53"/>
    </row>
    <row r="210" spans="1:14" ht="16.5" customHeight="1" x14ac:dyDescent="0.25">
      <c r="A210" s="168" t="s">
        <v>298</v>
      </c>
      <c r="B210" s="168"/>
      <c r="C210" s="168"/>
      <c r="D210" s="5">
        <v>3.7</v>
      </c>
      <c r="E210" s="109">
        <f t="shared" si="13"/>
        <v>0.18085999999999999</v>
      </c>
      <c r="F210" s="51">
        <f t="shared" si="12"/>
        <v>0.66900000000000004</v>
      </c>
      <c r="G210" s="185"/>
      <c r="H210" s="185"/>
      <c r="I210" s="185"/>
      <c r="J210" s="185"/>
      <c r="L210" s="53"/>
      <c r="N210" s="53"/>
    </row>
    <row r="211" spans="1:14" ht="16.5" customHeight="1" x14ac:dyDescent="0.25">
      <c r="A211" s="168" t="s">
        <v>299</v>
      </c>
      <c r="B211" s="168"/>
      <c r="C211" s="168"/>
      <c r="D211" s="5">
        <v>4.6100000000000003</v>
      </c>
      <c r="E211" s="109">
        <f t="shared" si="13"/>
        <v>0.18085999999999999</v>
      </c>
      <c r="F211" s="51">
        <f t="shared" si="12"/>
        <v>0.83399999999999996</v>
      </c>
      <c r="G211" s="185"/>
      <c r="H211" s="185"/>
      <c r="I211" s="185"/>
      <c r="J211" s="185"/>
      <c r="L211" s="53"/>
      <c r="N211" s="53"/>
    </row>
    <row r="212" spans="1:14" ht="16.5" customHeight="1" x14ac:dyDescent="0.25">
      <c r="A212" s="168" t="s">
        <v>300</v>
      </c>
      <c r="B212" s="168"/>
      <c r="C212" s="168"/>
      <c r="D212" s="5">
        <v>3.1</v>
      </c>
      <c r="E212" s="109">
        <f t="shared" si="13"/>
        <v>0.18085999999999999</v>
      </c>
      <c r="F212" s="51">
        <f t="shared" si="12"/>
        <v>0.56100000000000005</v>
      </c>
      <c r="G212" s="185"/>
      <c r="H212" s="185"/>
      <c r="I212" s="185"/>
      <c r="J212" s="185"/>
      <c r="L212" s="53"/>
      <c r="N212" s="53"/>
    </row>
    <row r="213" spans="1:14" ht="16.5" customHeight="1" x14ac:dyDescent="0.25">
      <c r="A213" s="168" t="s">
        <v>301</v>
      </c>
      <c r="B213" s="168"/>
      <c r="C213" s="168"/>
      <c r="D213" s="5">
        <v>5.0999999999999996</v>
      </c>
      <c r="E213" s="109">
        <f t="shared" si="13"/>
        <v>0.18085999999999999</v>
      </c>
      <c r="F213" s="51">
        <f t="shared" si="12"/>
        <v>0.92200000000000004</v>
      </c>
      <c r="G213" s="185"/>
      <c r="H213" s="185"/>
      <c r="I213" s="185"/>
      <c r="J213" s="185"/>
      <c r="L213" s="53"/>
      <c r="N213" s="53"/>
    </row>
    <row r="214" spans="1:14" ht="16.5" customHeight="1" x14ac:dyDescent="0.25">
      <c r="A214" s="168" t="s">
        <v>302</v>
      </c>
      <c r="B214" s="168"/>
      <c r="C214" s="168"/>
      <c r="D214" s="5">
        <v>2.54</v>
      </c>
      <c r="E214" s="109">
        <f t="shared" si="13"/>
        <v>0.18085999999999999</v>
      </c>
      <c r="F214" s="51">
        <f t="shared" si="12"/>
        <v>0.45900000000000002</v>
      </c>
      <c r="G214" s="185"/>
      <c r="H214" s="185"/>
      <c r="I214" s="185"/>
      <c r="J214" s="185"/>
      <c r="L214" s="53"/>
      <c r="N214" s="53"/>
    </row>
    <row r="215" spans="1:14" ht="16.5" customHeight="1" x14ac:dyDescent="0.25">
      <c r="A215" s="187" t="s">
        <v>250</v>
      </c>
      <c r="B215" s="188"/>
      <c r="C215" s="188"/>
      <c r="D215" s="188"/>
      <c r="E215" s="189"/>
      <c r="F215" s="5">
        <f>SUM(F195:F214)</f>
        <v>148</v>
      </c>
      <c r="G215" s="186"/>
      <c r="H215" s="186"/>
      <c r="I215" s="186"/>
      <c r="J215" s="186"/>
      <c r="L215" s="53"/>
      <c r="N215" s="53"/>
    </row>
    <row r="216" spans="1:14" ht="16.5" customHeight="1" x14ac:dyDescent="0.25">
      <c r="A216" s="169" t="str">
        <f>"TOTAL - "&amp;'Plan. Orçamentária'!F35</f>
        <v>TOTAL - M3</v>
      </c>
      <c r="B216" s="169"/>
      <c r="C216" s="169"/>
      <c r="D216" s="169"/>
      <c r="E216" s="169"/>
      <c r="F216" s="169"/>
      <c r="G216" s="169"/>
      <c r="H216" s="169"/>
      <c r="I216" s="169"/>
      <c r="J216" s="40">
        <f>SUM(J184:J215)</f>
        <v>1129.8599999999999</v>
      </c>
    </row>
    <row r="217" spans="1:14" ht="39" customHeight="1" x14ac:dyDescent="0.25">
      <c r="A217" s="16" t="str">
        <f>'Plan. Orçamentária'!A36</f>
        <v>5.6</v>
      </c>
      <c r="B217" s="198" t="str">
        <f>'Plan. Orçamentária'!D36</f>
        <v>Poço de visita para drenagem pluvial em alvenaria de blocos de concreto, cheios em concreto Fck ≥ 20MPa, dimensões internas de 100X100cm, altura de 150 cm a 300 cm (varíável de acordo com perfil da rede), para rede DN 400mm e DN600mm, com tampa de concreto armado e reboco interno, incluindo escavação e reaterro compactado, conforme projeto</v>
      </c>
      <c r="C217" s="198"/>
      <c r="D217" s="198"/>
      <c r="E217" s="198"/>
      <c r="F217" s="198"/>
      <c r="G217" s="198"/>
      <c r="H217" s="198"/>
      <c r="I217" s="198"/>
      <c r="J217" s="198"/>
    </row>
    <row r="218" spans="1:14" ht="25.5" customHeight="1" x14ac:dyDescent="0.25">
      <c r="A218" s="191" t="s">
        <v>12</v>
      </c>
      <c r="B218" s="191"/>
      <c r="C218" s="191"/>
      <c r="D218" s="83" t="s">
        <v>13</v>
      </c>
      <c r="E218" s="83" t="s">
        <v>14</v>
      </c>
      <c r="F218" s="83" t="s">
        <v>15</v>
      </c>
      <c r="G218" s="83" t="s">
        <v>16</v>
      </c>
      <c r="H218" s="83" t="s">
        <v>18</v>
      </c>
      <c r="I218" s="83" t="s">
        <v>27</v>
      </c>
      <c r="J218" s="81" t="s">
        <v>47</v>
      </c>
    </row>
    <row r="219" spans="1:14" ht="16.5" customHeight="1" x14ac:dyDescent="0.25">
      <c r="A219" s="180" t="s">
        <v>279</v>
      </c>
      <c r="B219" s="180"/>
      <c r="C219" s="180"/>
      <c r="D219" s="5"/>
      <c r="E219" s="5"/>
      <c r="F219" s="5"/>
      <c r="G219" s="5"/>
      <c r="H219" s="5"/>
      <c r="I219" s="5"/>
      <c r="J219" s="5"/>
    </row>
    <row r="220" spans="1:14" ht="16.5" customHeight="1" x14ac:dyDescent="0.25">
      <c r="A220" s="168" t="s">
        <v>256</v>
      </c>
      <c r="B220" s="168"/>
      <c r="C220" s="168"/>
      <c r="D220" s="5"/>
      <c r="E220" s="5"/>
      <c r="F220" s="51"/>
      <c r="G220" s="5">
        <v>1</v>
      </c>
      <c r="H220" s="80"/>
      <c r="I220" s="80"/>
      <c r="J220" s="80">
        <f>PRODUCT(D220:H220)-I220</f>
        <v>1</v>
      </c>
      <c r="L220" s="53"/>
      <c r="N220" s="53"/>
    </row>
    <row r="221" spans="1:14" ht="16.5" customHeight="1" x14ac:dyDescent="0.25">
      <c r="A221" s="168" t="s">
        <v>257</v>
      </c>
      <c r="B221" s="168"/>
      <c r="C221" s="168"/>
      <c r="D221" s="5"/>
      <c r="E221" s="5"/>
      <c r="F221" s="51"/>
      <c r="G221" s="5">
        <v>1</v>
      </c>
      <c r="H221" s="80"/>
      <c r="I221" s="80"/>
      <c r="J221" s="80">
        <f t="shared" ref="J221:J229" si="14">PRODUCT(D221:H221)-I221</f>
        <v>1</v>
      </c>
      <c r="L221" s="53"/>
      <c r="N221" s="53"/>
    </row>
    <row r="222" spans="1:14" ht="16.5" customHeight="1" x14ac:dyDescent="0.25">
      <c r="A222" s="168" t="s">
        <v>258</v>
      </c>
      <c r="B222" s="168"/>
      <c r="C222" s="168"/>
      <c r="D222" s="5"/>
      <c r="E222" s="5"/>
      <c r="F222" s="51"/>
      <c r="G222" s="5">
        <v>1</v>
      </c>
      <c r="H222" s="80"/>
      <c r="I222" s="80"/>
      <c r="J222" s="80">
        <f t="shared" si="14"/>
        <v>1</v>
      </c>
      <c r="L222" s="53"/>
      <c r="N222" s="53"/>
    </row>
    <row r="223" spans="1:14" ht="16.5" customHeight="1" x14ac:dyDescent="0.25">
      <c r="A223" s="180" t="s">
        <v>280</v>
      </c>
      <c r="B223" s="180"/>
      <c r="C223" s="180"/>
      <c r="D223" s="5"/>
      <c r="E223" s="5"/>
      <c r="F223" s="5"/>
      <c r="G223" s="5"/>
      <c r="H223" s="5"/>
      <c r="I223" s="5"/>
      <c r="J223" s="5"/>
    </row>
    <row r="224" spans="1:14" ht="16.5" customHeight="1" x14ac:dyDescent="0.25">
      <c r="A224" s="168" t="s">
        <v>257</v>
      </c>
      <c r="B224" s="168"/>
      <c r="C224" s="168"/>
      <c r="D224" s="5"/>
      <c r="E224" s="5"/>
      <c r="F224" s="51"/>
      <c r="G224" s="5">
        <v>1</v>
      </c>
      <c r="H224" s="100"/>
      <c r="I224" s="100"/>
      <c r="J224" s="100">
        <f t="shared" si="14"/>
        <v>1</v>
      </c>
      <c r="L224" s="53"/>
      <c r="N224" s="53"/>
    </row>
    <row r="225" spans="1:14" ht="16.5" customHeight="1" x14ac:dyDescent="0.25">
      <c r="A225" s="168" t="s">
        <v>258</v>
      </c>
      <c r="B225" s="168"/>
      <c r="C225" s="168"/>
      <c r="D225" s="5"/>
      <c r="E225" s="5"/>
      <c r="F225" s="51"/>
      <c r="G225" s="5">
        <v>1</v>
      </c>
      <c r="H225" s="100"/>
      <c r="I225" s="100"/>
      <c r="J225" s="100">
        <f t="shared" si="14"/>
        <v>1</v>
      </c>
      <c r="L225" s="53"/>
      <c r="N225" s="53"/>
    </row>
    <row r="226" spans="1:14" ht="16.5" customHeight="1" x14ac:dyDescent="0.25">
      <c r="A226" s="168" t="s">
        <v>303</v>
      </c>
      <c r="B226" s="168"/>
      <c r="C226" s="168"/>
      <c r="D226" s="5"/>
      <c r="E226" s="5"/>
      <c r="F226" s="51"/>
      <c r="G226" s="5">
        <v>1</v>
      </c>
      <c r="H226" s="100"/>
      <c r="I226" s="100"/>
      <c r="J226" s="100">
        <f t="shared" si="14"/>
        <v>1</v>
      </c>
      <c r="L226" s="53"/>
      <c r="N226" s="53"/>
    </row>
    <row r="227" spans="1:14" ht="16.5" customHeight="1" x14ac:dyDescent="0.25">
      <c r="A227" s="168" t="s">
        <v>304</v>
      </c>
      <c r="B227" s="168"/>
      <c r="C227" s="168"/>
      <c r="D227" s="5"/>
      <c r="E227" s="5"/>
      <c r="F227" s="51"/>
      <c r="G227" s="5">
        <v>1</v>
      </c>
      <c r="H227" s="100"/>
      <c r="I227" s="100"/>
      <c r="J227" s="100">
        <f t="shared" si="14"/>
        <v>1</v>
      </c>
      <c r="L227" s="53"/>
      <c r="N227" s="53"/>
    </row>
    <row r="228" spans="1:14" ht="16.5" customHeight="1" x14ac:dyDescent="0.25">
      <c r="A228" s="168" t="s">
        <v>305</v>
      </c>
      <c r="B228" s="168"/>
      <c r="C228" s="168"/>
      <c r="D228" s="5"/>
      <c r="E228" s="5"/>
      <c r="F228" s="51"/>
      <c r="G228" s="5">
        <v>1</v>
      </c>
      <c r="H228" s="100"/>
      <c r="I228" s="100"/>
      <c r="J228" s="100">
        <f t="shared" si="14"/>
        <v>1</v>
      </c>
      <c r="L228" s="53"/>
      <c r="N228" s="53"/>
    </row>
    <row r="229" spans="1:14" ht="16.5" customHeight="1" x14ac:dyDescent="0.25">
      <c r="A229" s="168" t="s">
        <v>306</v>
      </c>
      <c r="B229" s="168"/>
      <c r="C229" s="168"/>
      <c r="D229" s="5"/>
      <c r="E229" s="5"/>
      <c r="F229" s="51"/>
      <c r="G229" s="5">
        <v>1</v>
      </c>
      <c r="H229" s="100"/>
      <c r="I229" s="100"/>
      <c r="J229" s="100">
        <f t="shared" si="14"/>
        <v>1</v>
      </c>
      <c r="L229" s="53"/>
      <c r="N229" s="53"/>
    </row>
    <row r="230" spans="1:14" ht="16.5" customHeight="1" x14ac:dyDescent="0.25">
      <c r="A230" s="169" t="str">
        <f>"TOTAL - "&amp;'Plan. Orçamentária'!F36</f>
        <v>TOTAL - UN</v>
      </c>
      <c r="B230" s="169"/>
      <c r="C230" s="169"/>
      <c r="D230" s="169"/>
      <c r="E230" s="169"/>
      <c r="F230" s="169"/>
      <c r="G230" s="169"/>
      <c r="H230" s="169"/>
      <c r="I230" s="169"/>
      <c r="J230" s="40">
        <f>SUM(J220:J229)</f>
        <v>9</v>
      </c>
    </row>
    <row r="231" spans="1:14" ht="25.5" customHeight="1" x14ac:dyDescent="0.25">
      <c r="A231" s="16" t="str">
        <f>'Plan. Orçamentária'!A37</f>
        <v>5.7</v>
      </c>
      <c r="B231" s="198" t="str">
        <f>'Plan. Orçamentária'!D37</f>
        <v>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v>
      </c>
      <c r="C231" s="198"/>
      <c r="D231" s="198"/>
      <c r="E231" s="198"/>
      <c r="F231" s="198"/>
      <c r="G231" s="198"/>
      <c r="H231" s="198"/>
      <c r="I231" s="198"/>
      <c r="J231" s="198"/>
    </row>
    <row r="232" spans="1:14" ht="16.5" customHeight="1" x14ac:dyDescent="0.25">
      <c r="A232" s="191" t="s">
        <v>12</v>
      </c>
      <c r="B232" s="191"/>
      <c r="C232" s="191"/>
      <c r="D232" s="104" t="s">
        <v>13</v>
      </c>
      <c r="E232" s="104" t="s">
        <v>14</v>
      </c>
      <c r="F232" s="104" t="s">
        <v>15</v>
      </c>
      <c r="G232" s="104" t="s">
        <v>16</v>
      </c>
      <c r="H232" s="104" t="s">
        <v>18</v>
      </c>
      <c r="I232" s="104" t="s">
        <v>27</v>
      </c>
      <c r="J232" s="103" t="s">
        <v>47</v>
      </c>
    </row>
    <row r="233" spans="1:14" ht="16.5" customHeight="1" x14ac:dyDescent="0.25">
      <c r="A233" s="180" t="s">
        <v>279</v>
      </c>
      <c r="B233" s="180"/>
      <c r="C233" s="180"/>
      <c r="D233" s="5"/>
      <c r="E233" s="5"/>
      <c r="F233" s="5"/>
      <c r="G233" s="5"/>
      <c r="H233" s="5"/>
      <c r="I233" s="5"/>
      <c r="J233" s="5"/>
    </row>
    <row r="234" spans="1:14" ht="16.5" customHeight="1" x14ac:dyDescent="0.25">
      <c r="A234" s="168" t="s">
        <v>255</v>
      </c>
      <c r="B234" s="168"/>
      <c r="C234" s="168"/>
      <c r="D234" s="5"/>
      <c r="E234" s="5"/>
      <c r="F234" s="51"/>
      <c r="G234" s="5">
        <v>1</v>
      </c>
      <c r="H234" s="100"/>
      <c r="I234" s="100"/>
      <c r="J234" s="100">
        <f>PRODUCT(D234:H234)-I234</f>
        <v>1</v>
      </c>
    </row>
    <row r="235" spans="1:14" ht="16.5" customHeight="1" x14ac:dyDescent="0.25">
      <c r="A235" s="180" t="s">
        <v>280</v>
      </c>
      <c r="B235" s="180"/>
      <c r="C235" s="180"/>
      <c r="D235" s="5"/>
      <c r="E235" s="5"/>
      <c r="F235" s="5"/>
      <c r="G235" s="5"/>
      <c r="H235" s="5"/>
      <c r="I235" s="5"/>
      <c r="J235" s="5"/>
    </row>
    <row r="236" spans="1:14" ht="16.5" customHeight="1" x14ac:dyDescent="0.25">
      <c r="A236" s="181" t="s">
        <v>307</v>
      </c>
      <c r="B236" s="182"/>
      <c r="C236" s="183"/>
      <c r="D236" s="5"/>
      <c r="E236" s="5"/>
      <c r="F236" s="51"/>
      <c r="G236" s="5">
        <v>1</v>
      </c>
      <c r="H236" s="100"/>
      <c r="I236" s="100"/>
      <c r="J236" s="100">
        <f>PRODUCT(D236:H236)-I236</f>
        <v>1</v>
      </c>
    </row>
    <row r="237" spans="1:14" ht="16.5" customHeight="1" x14ac:dyDescent="0.25">
      <c r="A237" s="169" t="str">
        <f>"TOTAL - "&amp;'Plan. Orçamentária'!F37</f>
        <v>TOTAL - UN</v>
      </c>
      <c r="B237" s="169"/>
      <c r="C237" s="169"/>
      <c r="D237" s="169"/>
      <c r="E237" s="169"/>
      <c r="F237" s="169"/>
      <c r="G237" s="169"/>
      <c r="H237" s="169"/>
      <c r="I237" s="169"/>
      <c r="J237" s="40">
        <f>SUM(J234:J236)</f>
        <v>2</v>
      </c>
    </row>
    <row r="238" spans="1:14" ht="38.25" customHeight="1" x14ac:dyDescent="0.25">
      <c r="A238" s="16" t="str">
        <f>'Plan. Orçamentária'!A38</f>
        <v>5.8</v>
      </c>
      <c r="B238" s="166" t="str">
        <f>'Plan. Orçamentária'!D38</f>
        <v>Boca de lobo simples, dimensões internas de 85x28x100cm (comp. x larg. x alt.) em alvenaria de blocos de concreto, cheios em concreto Fck ≥ 20MPa, sobre lastro de concreto 10cm, incluindo escavação e reaterro compactado, conforme projeto. Inclusive reboco para alvenaria interna, grelha GR 95 ferro fundido, cantoneira e bota fora (Tipo A - ferro fundido)</v>
      </c>
      <c r="C238" s="166"/>
      <c r="D238" s="166"/>
      <c r="E238" s="166"/>
      <c r="F238" s="166"/>
      <c r="G238" s="166"/>
      <c r="H238" s="166"/>
      <c r="I238" s="166"/>
      <c r="J238" s="166"/>
    </row>
    <row r="239" spans="1:14" ht="16.5" customHeight="1" x14ac:dyDescent="0.25">
      <c r="A239" s="167" t="s">
        <v>12</v>
      </c>
      <c r="B239" s="167"/>
      <c r="C239" s="167"/>
      <c r="D239" s="45" t="s">
        <v>13</v>
      </c>
      <c r="E239" s="45" t="s">
        <v>14</v>
      </c>
      <c r="F239" s="45" t="s">
        <v>15</v>
      </c>
      <c r="G239" s="45" t="s">
        <v>16</v>
      </c>
      <c r="H239" s="45" t="s">
        <v>18</v>
      </c>
      <c r="I239" s="45" t="s">
        <v>27</v>
      </c>
      <c r="J239" s="45" t="s">
        <v>19</v>
      </c>
    </row>
    <row r="240" spans="1:14" ht="16.5" customHeight="1" x14ac:dyDescent="0.25">
      <c r="A240" s="180" t="s">
        <v>279</v>
      </c>
      <c r="B240" s="180"/>
      <c r="C240" s="180"/>
      <c r="D240" s="5"/>
      <c r="E240" s="5"/>
      <c r="F240" s="5"/>
      <c r="G240" s="5"/>
      <c r="H240" s="5"/>
      <c r="I240" s="5"/>
      <c r="J240" s="5"/>
    </row>
    <row r="241" spans="1:10" ht="16.5" customHeight="1" x14ac:dyDescent="0.25">
      <c r="A241" s="168" t="s">
        <v>230</v>
      </c>
      <c r="B241" s="168"/>
      <c r="C241" s="168"/>
      <c r="D241" s="5"/>
      <c r="E241" s="5"/>
      <c r="F241" s="5"/>
      <c r="G241" s="5">
        <v>5</v>
      </c>
      <c r="H241" s="5"/>
      <c r="I241" s="5"/>
      <c r="J241" s="5">
        <f>PRODUCT(D241:H241)-I241</f>
        <v>5</v>
      </c>
    </row>
    <row r="242" spans="1:10" ht="16.5" customHeight="1" x14ac:dyDescent="0.25">
      <c r="A242" s="180" t="s">
        <v>280</v>
      </c>
      <c r="B242" s="180"/>
      <c r="C242" s="180"/>
      <c r="D242" s="5"/>
      <c r="E242" s="5"/>
      <c r="F242" s="5"/>
      <c r="G242" s="5"/>
      <c r="H242" s="5"/>
      <c r="I242" s="5"/>
      <c r="J242" s="5"/>
    </row>
    <row r="243" spans="1:10" ht="16.5" customHeight="1" x14ac:dyDescent="0.25">
      <c r="A243" s="181" t="s">
        <v>308</v>
      </c>
      <c r="B243" s="182"/>
      <c r="C243" s="183"/>
      <c r="D243" s="5"/>
      <c r="E243" s="5"/>
      <c r="F243" s="5"/>
      <c r="G243" s="5">
        <v>12</v>
      </c>
      <c r="H243" s="5"/>
      <c r="I243" s="5"/>
      <c r="J243" s="5">
        <f>PRODUCT(D243:H243)-I243</f>
        <v>12</v>
      </c>
    </row>
    <row r="244" spans="1:10" ht="16.5" customHeight="1" x14ac:dyDescent="0.25">
      <c r="A244" s="169" t="str">
        <f>"TOTAL - "&amp;'Plan. Orçamentária'!F38</f>
        <v>TOTAL - UN</v>
      </c>
      <c r="B244" s="169"/>
      <c r="C244" s="169"/>
      <c r="D244" s="169"/>
      <c r="E244" s="169"/>
      <c r="F244" s="169"/>
      <c r="G244" s="169"/>
      <c r="H244" s="169"/>
      <c r="I244" s="169"/>
      <c r="J244" s="40">
        <f>SUM(J241:J243)</f>
        <v>17</v>
      </c>
    </row>
    <row r="245" spans="1:10" ht="16.5" customHeight="1" x14ac:dyDescent="0.25">
      <c r="A245" s="47">
        <f>'Plan. Orçamentária'!A40</f>
        <v>6</v>
      </c>
      <c r="B245" s="179" t="str">
        <f>'Plan. Orçamentária'!D40</f>
        <v>PAVIMENTAÇÃO</v>
      </c>
      <c r="C245" s="179"/>
      <c r="D245" s="179"/>
      <c r="E245" s="179"/>
      <c r="F245" s="179"/>
      <c r="G245" s="179"/>
      <c r="H245" s="179"/>
      <c r="I245" s="179"/>
      <c r="J245" s="179"/>
    </row>
    <row r="246" spans="1:10" ht="16.5" customHeight="1" x14ac:dyDescent="0.25">
      <c r="A246" s="16" t="str">
        <f>'Plan. Orçamentária'!A41</f>
        <v>6.1</v>
      </c>
      <c r="B246" s="166" t="str">
        <f>'Plan. Orçamentária'!D41</f>
        <v>Corte de árvore nativa com moto-serra DN &gt;= 030m - Até 1.000 unidades</v>
      </c>
      <c r="C246" s="166"/>
      <c r="D246" s="166"/>
      <c r="E246" s="166"/>
      <c r="F246" s="166"/>
      <c r="G246" s="166"/>
      <c r="H246" s="166"/>
      <c r="I246" s="166"/>
      <c r="J246" s="166"/>
    </row>
    <row r="247" spans="1:10" ht="16.5" customHeight="1" x14ac:dyDescent="0.25">
      <c r="A247" s="167" t="s">
        <v>12</v>
      </c>
      <c r="B247" s="167"/>
      <c r="C247" s="167"/>
      <c r="D247" s="121" t="s">
        <v>13</v>
      </c>
      <c r="E247" s="121" t="s">
        <v>14</v>
      </c>
      <c r="F247" s="121" t="s">
        <v>15</v>
      </c>
      <c r="G247" s="121" t="s">
        <v>16</v>
      </c>
      <c r="H247" s="121" t="s">
        <v>18</v>
      </c>
      <c r="I247" s="121" t="s">
        <v>27</v>
      </c>
      <c r="J247" s="121" t="s">
        <v>19</v>
      </c>
    </row>
    <row r="248" spans="1:10" ht="16.5" customHeight="1" x14ac:dyDescent="0.25">
      <c r="A248" s="168" t="s">
        <v>309</v>
      </c>
      <c r="B248" s="168"/>
      <c r="C248" s="168"/>
      <c r="D248" s="5"/>
      <c r="E248" s="5"/>
      <c r="F248" s="5"/>
      <c r="G248" s="5">
        <v>2</v>
      </c>
      <c r="H248" s="5"/>
      <c r="I248" s="5"/>
      <c r="J248" s="5">
        <f>PRODUCT(D248:H248)-I248</f>
        <v>2</v>
      </c>
    </row>
    <row r="249" spans="1:10" ht="16.5" customHeight="1" x14ac:dyDescent="0.25">
      <c r="A249" s="169" t="str">
        <f>"TOTAL - "&amp;'Plan. Orçamentária'!F41</f>
        <v>TOTAL - UN</v>
      </c>
      <c r="B249" s="169"/>
      <c r="C249" s="169"/>
      <c r="D249" s="169"/>
      <c r="E249" s="169"/>
      <c r="F249" s="169"/>
      <c r="G249" s="169"/>
      <c r="H249" s="169"/>
      <c r="I249" s="169"/>
      <c r="J249" s="40">
        <f>SUM(J248:J248)</f>
        <v>2</v>
      </c>
    </row>
    <row r="250" spans="1:10" ht="16.5" customHeight="1" x14ac:dyDescent="0.25">
      <c r="A250" s="16" t="str">
        <f>'Plan. Orçamentária'!A42</f>
        <v>6.2</v>
      </c>
      <c r="B250" s="166" t="str">
        <f>'Plan. Orçamentária'!D42</f>
        <v>Demolição manual de pavimento poliédrica, inclusive afastamento</v>
      </c>
      <c r="C250" s="166"/>
      <c r="D250" s="166"/>
      <c r="E250" s="166"/>
      <c r="F250" s="166"/>
      <c r="G250" s="166"/>
      <c r="H250" s="166"/>
      <c r="I250" s="166"/>
      <c r="J250" s="166"/>
    </row>
    <row r="251" spans="1:10" ht="16.5" customHeight="1" x14ac:dyDescent="0.25">
      <c r="A251" s="167" t="s">
        <v>12</v>
      </c>
      <c r="B251" s="167"/>
      <c r="C251" s="167"/>
      <c r="D251" s="45" t="s">
        <v>13</v>
      </c>
      <c r="E251" s="45" t="s">
        <v>14</v>
      </c>
      <c r="F251" s="45" t="s">
        <v>15</v>
      </c>
      <c r="G251" s="45" t="s">
        <v>16</v>
      </c>
      <c r="H251" s="45" t="s">
        <v>18</v>
      </c>
      <c r="I251" s="45" t="s">
        <v>27</v>
      </c>
      <c r="J251" s="45" t="s">
        <v>19</v>
      </c>
    </row>
    <row r="252" spans="1:10" ht="16.5" customHeight="1" x14ac:dyDescent="0.25">
      <c r="A252" s="180" t="s">
        <v>279</v>
      </c>
      <c r="B252" s="180"/>
      <c r="C252" s="180"/>
      <c r="D252" s="5"/>
      <c r="E252" s="5"/>
      <c r="F252" s="5"/>
      <c r="G252" s="5"/>
      <c r="H252" s="5"/>
      <c r="I252" s="5"/>
      <c r="J252" s="5"/>
    </row>
    <row r="253" spans="1:10" ht="16.5" customHeight="1" x14ac:dyDescent="0.25">
      <c r="A253" s="168" t="s">
        <v>310</v>
      </c>
      <c r="B253" s="168"/>
      <c r="C253" s="168"/>
      <c r="D253" s="5"/>
      <c r="E253" s="5"/>
      <c r="F253" s="5"/>
      <c r="G253" s="5"/>
      <c r="H253" s="5">
        <v>1296.28</v>
      </c>
      <c r="I253" s="5"/>
      <c r="J253" s="5">
        <f>PRODUCT(D253:H253)-I253</f>
        <v>1296.28</v>
      </c>
    </row>
    <row r="254" spans="1:10" ht="16.5" customHeight="1" x14ac:dyDescent="0.25">
      <c r="A254" s="168" t="s">
        <v>311</v>
      </c>
      <c r="B254" s="168"/>
      <c r="C254" s="168"/>
      <c r="D254" s="5"/>
      <c r="E254" s="5"/>
      <c r="F254" s="5"/>
      <c r="G254" s="5"/>
      <c r="H254" s="5">
        <v>334.43</v>
      </c>
      <c r="I254" s="5"/>
      <c r="J254" s="5">
        <f>PRODUCT(D254:H254)-I254</f>
        <v>334.43</v>
      </c>
    </row>
    <row r="255" spans="1:10" ht="16.5" customHeight="1" x14ac:dyDescent="0.25">
      <c r="A255" s="180" t="s">
        <v>280</v>
      </c>
      <c r="B255" s="180"/>
      <c r="C255" s="180"/>
      <c r="D255" s="5"/>
      <c r="E255" s="5"/>
      <c r="F255" s="5"/>
      <c r="G255" s="5"/>
      <c r="H255" s="5"/>
      <c r="I255" s="5"/>
      <c r="J255" s="5"/>
    </row>
    <row r="256" spans="1:10" ht="16.5" customHeight="1" x14ac:dyDescent="0.25">
      <c r="A256" s="181" t="s">
        <v>312</v>
      </c>
      <c r="B256" s="182"/>
      <c r="C256" s="183"/>
      <c r="D256" s="5"/>
      <c r="E256" s="5"/>
      <c r="F256" s="5"/>
      <c r="G256" s="5"/>
      <c r="H256" s="5">
        <v>3430.45</v>
      </c>
      <c r="I256" s="5"/>
      <c r="J256" s="5">
        <f>PRODUCT(D256:H256)-I256</f>
        <v>3430.45</v>
      </c>
    </row>
    <row r="257" spans="1:10" ht="16.5" customHeight="1" x14ac:dyDescent="0.25">
      <c r="A257" s="169" t="str">
        <f>"TOTAL - "&amp;'Plan. Orçamentária'!F42</f>
        <v>TOTAL - M2</v>
      </c>
      <c r="B257" s="169"/>
      <c r="C257" s="169"/>
      <c r="D257" s="169"/>
      <c r="E257" s="169"/>
      <c r="F257" s="169"/>
      <c r="G257" s="169"/>
      <c r="H257" s="169"/>
      <c r="I257" s="169"/>
      <c r="J257" s="40">
        <f>SUM(J253:J256)</f>
        <v>5061.16</v>
      </c>
    </row>
    <row r="258" spans="1:10" ht="16.5" customHeight="1" x14ac:dyDescent="0.25">
      <c r="A258" s="16" t="str">
        <f>'Plan. Orçamentária'!A43</f>
        <v>6.3</v>
      </c>
      <c r="B258" s="166" t="str">
        <f>'Plan. Orçamentária'!D43</f>
        <v>Remoção de blocos sextavados (bloquetes)</v>
      </c>
      <c r="C258" s="166"/>
      <c r="D258" s="166"/>
      <c r="E258" s="166"/>
      <c r="F258" s="166"/>
      <c r="G258" s="166"/>
      <c r="H258" s="166"/>
      <c r="I258" s="166"/>
      <c r="J258" s="166"/>
    </row>
    <row r="259" spans="1:10" ht="16.5" customHeight="1" x14ac:dyDescent="0.25">
      <c r="A259" s="167" t="s">
        <v>12</v>
      </c>
      <c r="B259" s="167"/>
      <c r="C259" s="167"/>
      <c r="D259" s="122" t="s">
        <v>13</v>
      </c>
      <c r="E259" s="122" t="s">
        <v>14</v>
      </c>
      <c r="F259" s="122" t="s">
        <v>15</v>
      </c>
      <c r="G259" s="122" t="s">
        <v>120</v>
      </c>
      <c r="H259" s="122" t="s">
        <v>18</v>
      </c>
      <c r="I259" s="122" t="s">
        <v>27</v>
      </c>
      <c r="J259" s="122" t="s">
        <v>19</v>
      </c>
    </row>
    <row r="260" spans="1:10" ht="16.5" customHeight="1" x14ac:dyDescent="0.25">
      <c r="A260" s="168" t="s">
        <v>322</v>
      </c>
      <c r="B260" s="168"/>
      <c r="C260" s="168"/>
      <c r="D260" s="5"/>
      <c r="E260" s="5"/>
      <c r="F260" s="5"/>
      <c r="G260" s="5"/>
      <c r="H260" s="5">
        <v>90.55</v>
      </c>
      <c r="I260" s="5"/>
      <c r="J260" s="5">
        <f>PRODUCT(D260:I260)</f>
        <v>90.55</v>
      </c>
    </row>
    <row r="261" spans="1:10" ht="16.5" customHeight="1" x14ac:dyDescent="0.25">
      <c r="A261" s="169" t="str">
        <f>"TOTAL - "&amp;'Plan. Orçamentária'!F43</f>
        <v>TOTAL - M2</v>
      </c>
      <c r="B261" s="169"/>
      <c r="C261" s="169"/>
      <c r="D261" s="169"/>
      <c r="E261" s="169"/>
      <c r="F261" s="169"/>
      <c r="G261" s="169"/>
      <c r="H261" s="169"/>
      <c r="I261" s="169"/>
      <c r="J261" s="40">
        <f>SUM(J260:J260)</f>
        <v>90.55</v>
      </c>
    </row>
    <row r="262" spans="1:10" ht="16.5" customHeight="1" x14ac:dyDescent="0.25">
      <c r="A262" s="16" t="str">
        <f>'Plan. Orçamentária'!A44</f>
        <v>6.4</v>
      </c>
      <c r="B262" s="166" t="str">
        <f>'Plan. Orçamentária'!D44</f>
        <v>Carga de material de qualquer natureza sobre caminhão basculante, de forma mecanizada</v>
      </c>
      <c r="C262" s="166"/>
      <c r="D262" s="166"/>
      <c r="E262" s="166"/>
      <c r="F262" s="166"/>
      <c r="G262" s="166"/>
      <c r="H262" s="166"/>
      <c r="I262" s="166"/>
      <c r="J262" s="166"/>
    </row>
    <row r="263" spans="1:10" ht="16.5" customHeight="1" x14ac:dyDescent="0.25">
      <c r="A263" s="167" t="s">
        <v>12</v>
      </c>
      <c r="B263" s="167"/>
      <c r="C263" s="167"/>
      <c r="D263" s="45" t="s">
        <v>13</v>
      </c>
      <c r="E263" s="45" t="s">
        <v>14</v>
      </c>
      <c r="F263" s="45" t="s">
        <v>15</v>
      </c>
      <c r="G263" s="45" t="s">
        <v>120</v>
      </c>
      <c r="H263" s="45" t="s">
        <v>121</v>
      </c>
      <c r="I263" s="45" t="s">
        <v>122</v>
      </c>
      <c r="J263" s="45" t="s">
        <v>19</v>
      </c>
    </row>
    <row r="264" spans="1:10" ht="25.5" customHeight="1" x14ac:dyDescent="0.25">
      <c r="A264" s="168" t="s">
        <v>123</v>
      </c>
      <c r="B264" s="168"/>
      <c r="C264" s="168"/>
      <c r="D264" s="5"/>
      <c r="E264" s="5"/>
      <c r="F264" s="5">
        <v>0.16</v>
      </c>
      <c r="G264" s="5">
        <f>J257</f>
        <v>5061.16</v>
      </c>
      <c r="H264" s="5"/>
      <c r="I264" s="5">
        <v>1.5</v>
      </c>
      <c r="J264" s="5">
        <f>PRODUCT(D264:I264)</f>
        <v>1214.68</v>
      </c>
    </row>
    <row r="265" spans="1:10" ht="25.5" customHeight="1" x14ac:dyDescent="0.25">
      <c r="A265" s="168" t="s">
        <v>323</v>
      </c>
      <c r="B265" s="168"/>
      <c r="C265" s="168"/>
      <c r="D265" s="5"/>
      <c r="E265" s="5"/>
      <c r="F265" s="5">
        <v>0.1</v>
      </c>
      <c r="G265" s="5">
        <f>J261</f>
        <v>90.55</v>
      </c>
      <c r="H265" s="5"/>
      <c r="I265" s="5">
        <v>1.5</v>
      </c>
      <c r="J265" s="5">
        <f>PRODUCT(D265:I265)</f>
        <v>13.58</v>
      </c>
    </row>
    <row r="266" spans="1:10" ht="16.5" customHeight="1" x14ac:dyDescent="0.25">
      <c r="A266" s="169" t="str">
        <f>"TOTAL - "&amp;'Plan. Orçamentária'!F44</f>
        <v>TOTAL - M3</v>
      </c>
      <c r="B266" s="169"/>
      <c r="C266" s="169"/>
      <c r="D266" s="169"/>
      <c r="E266" s="169"/>
      <c r="F266" s="169"/>
      <c r="G266" s="169"/>
      <c r="H266" s="169"/>
      <c r="I266" s="169"/>
      <c r="J266" s="40">
        <f>SUM(J264:J265)</f>
        <v>1228.26</v>
      </c>
    </row>
    <row r="267" spans="1:10" ht="16.5" customHeight="1" x14ac:dyDescent="0.25">
      <c r="A267" s="16" t="str">
        <f>'Plan. Orçamentária'!A45</f>
        <v>6.5</v>
      </c>
      <c r="B267" s="166" t="str">
        <f>'Plan. Orçamentária'!D45</f>
        <v>Transporte de material de qualquer natureza em caminhão basculante, DMT &gt; 5km, dentro do perímetro urbano</v>
      </c>
      <c r="C267" s="166"/>
      <c r="D267" s="166"/>
      <c r="E267" s="166"/>
      <c r="F267" s="166"/>
      <c r="G267" s="166"/>
      <c r="H267" s="166"/>
      <c r="I267" s="166"/>
      <c r="J267" s="166"/>
    </row>
    <row r="268" spans="1:10" s="17" customFormat="1" ht="16.5" customHeight="1" x14ac:dyDescent="0.25">
      <c r="A268" s="167" t="s">
        <v>12</v>
      </c>
      <c r="B268" s="167"/>
      <c r="C268" s="167"/>
      <c r="D268" s="45" t="s">
        <v>13</v>
      </c>
      <c r="E268" s="45" t="s">
        <v>14</v>
      </c>
      <c r="F268" s="45" t="s">
        <v>15</v>
      </c>
      <c r="G268" s="46" t="s">
        <v>120</v>
      </c>
      <c r="H268" s="46" t="s">
        <v>121</v>
      </c>
      <c r="I268" s="46" t="s">
        <v>122</v>
      </c>
      <c r="J268" s="45" t="s">
        <v>19</v>
      </c>
    </row>
    <row r="269" spans="1:10" ht="16.5" customHeight="1" x14ac:dyDescent="0.25">
      <c r="A269" s="168" t="s">
        <v>124</v>
      </c>
      <c r="B269" s="168"/>
      <c r="C269" s="168"/>
      <c r="D269" s="5"/>
      <c r="E269" s="5"/>
      <c r="F269" s="5"/>
      <c r="G269" s="5">
        <f>J266</f>
        <v>1228.26</v>
      </c>
      <c r="H269" s="5">
        <v>10.1</v>
      </c>
      <c r="I269" s="5"/>
      <c r="J269" s="5">
        <f>PRODUCT(D269:I269)</f>
        <v>12405.43</v>
      </c>
    </row>
    <row r="270" spans="1:10" ht="16.5" customHeight="1" x14ac:dyDescent="0.25">
      <c r="A270" s="221" t="s">
        <v>264</v>
      </c>
      <c r="B270" s="221"/>
      <c r="C270" s="221"/>
      <c r="D270" s="135"/>
      <c r="E270" s="135"/>
      <c r="F270" s="135"/>
      <c r="G270" s="135">
        <f>J282</f>
        <v>896.3</v>
      </c>
      <c r="H270" s="135">
        <v>10</v>
      </c>
      <c r="I270" s="135"/>
      <c r="J270" s="135">
        <f>PRODUCT(D270:I270)</f>
        <v>8963</v>
      </c>
    </row>
    <row r="271" spans="1:10" ht="16.5" customHeight="1" x14ac:dyDescent="0.25">
      <c r="A271" s="169" t="str">
        <f>"TOTAL - "&amp;'Plan. Orçamentária'!F45</f>
        <v>TOTAL - M3XKM</v>
      </c>
      <c r="B271" s="169"/>
      <c r="C271" s="169"/>
      <c r="D271" s="169"/>
      <c r="E271" s="169"/>
      <c r="F271" s="169"/>
      <c r="G271" s="169"/>
      <c r="H271" s="169"/>
      <c r="I271" s="169"/>
      <c r="J271" s="40">
        <f>SUM(J269:J270)</f>
        <v>21368.43</v>
      </c>
    </row>
    <row r="272" spans="1:10" ht="16.5" customHeight="1" x14ac:dyDescent="0.25">
      <c r="A272" s="16" t="str">
        <f>'Plan. Orçamentária'!A46</f>
        <v>6.6</v>
      </c>
      <c r="B272" s="166" t="str">
        <f>'Plan. Orçamentária'!D46</f>
        <v>Aterro compactado com rolo vibratório a 95% do P.N.</v>
      </c>
      <c r="C272" s="166"/>
      <c r="D272" s="166"/>
      <c r="E272" s="166"/>
      <c r="F272" s="166"/>
      <c r="G272" s="166"/>
      <c r="H272" s="166"/>
      <c r="I272" s="166"/>
      <c r="J272" s="166"/>
    </row>
    <row r="273" spans="1:10" ht="16.5" customHeight="1" x14ac:dyDescent="0.25">
      <c r="A273" s="167" t="s">
        <v>12</v>
      </c>
      <c r="B273" s="167"/>
      <c r="C273" s="167"/>
      <c r="D273" s="114" t="s">
        <v>13</v>
      </c>
      <c r="E273" s="114" t="s">
        <v>14</v>
      </c>
      <c r="F273" s="114" t="s">
        <v>15</v>
      </c>
      <c r="G273" s="115" t="s">
        <v>120</v>
      </c>
      <c r="H273" s="122" t="s">
        <v>18</v>
      </c>
      <c r="I273" s="122" t="s">
        <v>27</v>
      </c>
      <c r="J273" s="114" t="s">
        <v>19</v>
      </c>
    </row>
    <row r="274" spans="1:10" ht="16.5" customHeight="1" x14ac:dyDescent="0.25">
      <c r="A274" s="180" t="s">
        <v>279</v>
      </c>
      <c r="B274" s="180"/>
      <c r="C274" s="180"/>
      <c r="D274" s="5"/>
      <c r="E274" s="5"/>
      <c r="F274" s="5"/>
      <c r="G274" s="5"/>
      <c r="H274" s="5"/>
      <c r="I274" s="5"/>
      <c r="J274" s="5"/>
    </row>
    <row r="275" spans="1:10" ht="16.5" customHeight="1" x14ac:dyDescent="0.25">
      <c r="A275" s="168" t="s">
        <v>281</v>
      </c>
      <c r="B275" s="168"/>
      <c r="C275" s="168"/>
      <c r="D275" s="5"/>
      <c r="E275" s="5"/>
      <c r="F275" s="5"/>
      <c r="G275" s="5"/>
      <c r="H275" s="5">
        <v>117</v>
      </c>
      <c r="I275" s="5"/>
      <c r="J275" s="5">
        <f>PRODUCT(D275:I275)</f>
        <v>117</v>
      </c>
    </row>
    <row r="276" spans="1:10" ht="16.5" customHeight="1" x14ac:dyDescent="0.25">
      <c r="A276" s="168" t="s">
        <v>282</v>
      </c>
      <c r="B276" s="168"/>
      <c r="C276" s="168"/>
      <c r="D276" s="5"/>
      <c r="E276" s="5"/>
      <c r="F276" s="5"/>
      <c r="G276" s="5"/>
      <c r="H276" s="5">
        <v>37.450000000000003</v>
      </c>
      <c r="I276" s="5"/>
      <c r="J276" s="5">
        <f>PRODUCT(D276:I276)</f>
        <v>37.450000000000003</v>
      </c>
    </row>
    <row r="277" spans="1:10" ht="16.5" customHeight="1" x14ac:dyDescent="0.25">
      <c r="A277" s="180" t="s">
        <v>280</v>
      </c>
      <c r="B277" s="180"/>
      <c r="C277" s="180"/>
      <c r="D277" s="5"/>
      <c r="E277" s="5"/>
      <c r="F277" s="5"/>
      <c r="G277" s="5"/>
      <c r="H277" s="5"/>
      <c r="I277" s="5"/>
      <c r="J277" s="5"/>
    </row>
    <row r="278" spans="1:10" ht="16.5" customHeight="1" x14ac:dyDescent="0.25">
      <c r="A278" s="181" t="s">
        <v>313</v>
      </c>
      <c r="B278" s="182"/>
      <c r="C278" s="183"/>
      <c r="D278" s="5"/>
      <c r="E278" s="5"/>
      <c r="F278" s="5"/>
      <c r="G278" s="5"/>
      <c r="H278" s="5">
        <v>584.35</v>
      </c>
      <c r="I278" s="129"/>
      <c r="J278" s="5">
        <f>PRODUCT(D278:I278)</f>
        <v>584.35</v>
      </c>
    </row>
    <row r="279" spans="1:10" ht="16.5" customHeight="1" x14ac:dyDescent="0.25">
      <c r="A279" s="181" t="s">
        <v>314</v>
      </c>
      <c r="B279" s="182"/>
      <c r="C279" s="183"/>
      <c r="D279" s="5"/>
      <c r="E279" s="5"/>
      <c r="F279" s="5"/>
      <c r="G279" s="5"/>
      <c r="H279" s="5">
        <v>35.700000000000003</v>
      </c>
      <c r="I279" s="5"/>
      <c r="J279" s="5">
        <f t="shared" ref="J279:J281" si="15">PRODUCT(D279:I279)</f>
        <v>35.700000000000003</v>
      </c>
    </row>
    <row r="280" spans="1:10" ht="16.5" customHeight="1" x14ac:dyDescent="0.25">
      <c r="A280" s="181" t="s">
        <v>330</v>
      </c>
      <c r="B280" s="182"/>
      <c r="C280" s="183"/>
      <c r="D280" s="5"/>
      <c r="E280" s="5"/>
      <c r="F280" s="5"/>
      <c r="G280" s="5"/>
      <c r="H280" s="5">
        <v>15</v>
      </c>
      <c r="I280" s="5"/>
      <c r="J280" s="5">
        <f t="shared" si="15"/>
        <v>15</v>
      </c>
    </row>
    <row r="281" spans="1:10" ht="16.5" customHeight="1" x14ac:dyDescent="0.25">
      <c r="A281" s="181" t="s">
        <v>331</v>
      </c>
      <c r="B281" s="182"/>
      <c r="C281" s="183"/>
      <c r="D281" s="5"/>
      <c r="E281" s="5"/>
      <c r="F281" s="5"/>
      <c r="G281" s="5"/>
      <c r="H281" s="5">
        <v>106.8</v>
      </c>
      <c r="I281" s="5"/>
      <c r="J281" s="5">
        <f t="shared" si="15"/>
        <v>106.8</v>
      </c>
    </row>
    <row r="282" spans="1:10" ht="16.5" customHeight="1" x14ac:dyDescent="0.25">
      <c r="A282" s="169" t="str">
        <f>"TOTAL - "&amp;'Plan. Orçamentária'!F46</f>
        <v>TOTAL - M3</v>
      </c>
      <c r="B282" s="169"/>
      <c r="C282" s="169"/>
      <c r="D282" s="169"/>
      <c r="E282" s="169"/>
      <c r="F282" s="169"/>
      <c r="G282" s="169"/>
      <c r="H282" s="169"/>
      <c r="I282" s="169"/>
      <c r="J282" s="40">
        <f>SUM(J275:J281)</f>
        <v>896.3</v>
      </c>
    </row>
    <row r="283" spans="1:10" ht="16.5" customHeight="1" x14ac:dyDescent="0.25">
      <c r="A283" s="16" t="str">
        <f>'Plan. Orçamentária'!A47</f>
        <v>6.7</v>
      </c>
      <c r="B283" s="166" t="str">
        <f>'Plan. Orçamentária'!D47</f>
        <v>Regularização e compactação de subleito de solo predominantemente argiloso</v>
      </c>
      <c r="C283" s="166"/>
      <c r="D283" s="166"/>
      <c r="E283" s="166"/>
      <c r="F283" s="166"/>
      <c r="G283" s="166"/>
      <c r="H283" s="166"/>
      <c r="I283" s="166"/>
      <c r="J283" s="166"/>
    </row>
    <row r="284" spans="1:10" s="17" customFormat="1" ht="16.5" customHeight="1" x14ac:dyDescent="0.25">
      <c r="A284" s="167" t="s">
        <v>12</v>
      </c>
      <c r="B284" s="167"/>
      <c r="C284" s="167"/>
      <c r="D284" s="45" t="s">
        <v>13</v>
      </c>
      <c r="E284" s="45" t="s">
        <v>14</v>
      </c>
      <c r="F284" s="45" t="s">
        <v>15</v>
      </c>
      <c r="G284" s="45" t="s">
        <v>16</v>
      </c>
      <c r="H284" s="122" t="s">
        <v>18</v>
      </c>
      <c r="I284" s="122" t="s">
        <v>27</v>
      </c>
      <c r="J284" s="45" t="s">
        <v>19</v>
      </c>
    </row>
    <row r="285" spans="1:10" ht="16.5" customHeight="1" x14ac:dyDescent="0.25">
      <c r="A285" s="168" t="s">
        <v>125</v>
      </c>
      <c r="B285" s="168"/>
      <c r="C285" s="168"/>
      <c r="D285" s="5"/>
      <c r="E285" s="5"/>
      <c r="F285" s="5"/>
      <c r="G285" s="5">
        <f>J257</f>
        <v>5061.16</v>
      </c>
      <c r="H285" s="5"/>
      <c r="I285" s="5"/>
      <c r="J285" s="5">
        <f>PRODUCT(D285:I285)</f>
        <v>5061.16</v>
      </c>
    </row>
    <row r="286" spans="1:10" ht="16.5" customHeight="1" x14ac:dyDescent="0.25">
      <c r="A286" s="169" t="str">
        <f>"TOTAL - "&amp;'Plan. Orçamentária'!F47</f>
        <v>TOTAL - M2</v>
      </c>
      <c r="B286" s="169"/>
      <c r="C286" s="169"/>
      <c r="D286" s="169"/>
      <c r="E286" s="169"/>
      <c r="F286" s="169"/>
      <c r="G286" s="169"/>
      <c r="H286" s="169"/>
      <c r="I286" s="169"/>
      <c r="J286" s="40">
        <f>SUM(J285:J285)</f>
        <v>5061.16</v>
      </c>
    </row>
    <row r="287" spans="1:10" ht="16.5" customHeight="1" x14ac:dyDescent="0.25">
      <c r="A287" s="16" t="str">
        <f>'Plan. Orçamentária'!A48</f>
        <v>6.8</v>
      </c>
      <c r="B287" s="166" t="str">
        <f>'Plan. Orçamentária'!D48</f>
        <v>Remoção de meio-fio pré-moldado de concreto, inclusive carga</v>
      </c>
      <c r="C287" s="166"/>
      <c r="D287" s="166"/>
      <c r="E287" s="166"/>
      <c r="F287" s="166"/>
      <c r="G287" s="166"/>
      <c r="H287" s="166"/>
      <c r="I287" s="166"/>
      <c r="J287" s="166"/>
    </row>
    <row r="288" spans="1:10" ht="16.5" customHeight="1" x14ac:dyDescent="0.25">
      <c r="A288" s="167" t="s">
        <v>12</v>
      </c>
      <c r="B288" s="167"/>
      <c r="C288" s="167"/>
      <c r="D288" s="45" t="s">
        <v>13</v>
      </c>
      <c r="E288" s="45" t="s">
        <v>14</v>
      </c>
      <c r="F288" s="45" t="s">
        <v>15</v>
      </c>
      <c r="G288" s="45" t="s">
        <v>16</v>
      </c>
      <c r="H288" s="45" t="s">
        <v>18</v>
      </c>
      <c r="I288" s="45" t="s">
        <v>27</v>
      </c>
      <c r="J288" s="45" t="s">
        <v>19</v>
      </c>
    </row>
    <row r="289" spans="1:10" ht="16.5" customHeight="1" x14ac:dyDescent="0.25">
      <c r="A289" s="180" t="s">
        <v>279</v>
      </c>
      <c r="B289" s="180"/>
      <c r="C289" s="180"/>
      <c r="D289" s="5"/>
      <c r="E289" s="5"/>
      <c r="F289" s="5"/>
      <c r="G289" s="5"/>
      <c r="H289" s="5"/>
      <c r="I289" s="5"/>
      <c r="J289" s="5"/>
    </row>
    <row r="290" spans="1:10" ht="16.5" customHeight="1" x14ac:dyDescent="0.25">
      <c r="A290" s="168" t="s">
        <v>127</v>
      </c>
      <c r="B290" s="168"/>
      <c r="C290" s="168"/>
      <c r="D290" s="5">
        <f>86+62</f>
        <v>148</v>
      </c>
      <c r="E290" s="5"/>
      <c r="F290" s="5"/>
      <c r="G290" s="5"/>
      <c r="H290" s="5"/>
      <c r="I290" s="5"/>
      <c r="J290" s="5">
        <f>PRODUCT(D290:H290)-I290</f>
        <v>148</v>
      </c>
    </row>
    <row r="291" spans="1:10" ht="16.5" customHeight="1" x14ac:dyDescent="0.25">
      <c r="A291" s="180" t="s">
        <v>280</v>
      </c>
      <c r="B291" s="180"/>
      <c r="C291" s="180"/>
      <c r="D291" s="5"/>
      <c r="E291" s="5"/>
      <c r="F291" s="5"/>
      <c r="G291" s="5"/>
      <c r="H291" s="5"/>
      <c r="I291" s="5"/>
      <c r="J291" s="5"/>
    </row>
    <row r="292" spans="1:10" ht="16.5" customHeight="1" x14ac:dyDescent="0.25">
      <c r="A292" s="168" t="s">
        <v>127</v>
      </c>
      <c r="B292" s="168"/>
      <c r="C292" s="168"/>
      <c r="D292" s="5">
        <v>832.8</v>
      </c>
      <c r="E292" s="5"/>
      <c r="F292" s="5"/>
      <c r="G292" s="5"/>
      <c r="H292" s="5"/>
      <c r="I292" s="5"/>
      <c r="J292" s="5">
        <f>PRODUCT(D292:H292)-I292</f>
        <v>832.8</v>
      </c>
    </row>
    <row r="293" spans="1:10" ht="16.5" customHeight="1" x14ac:dyDescent="0.25">
      <c r="A293" s="169" t="str">
        <f>"TOTAL - "&amp;'Plan. Orçamentária'!F48</f>
        <v>TOTAL - M</v>
      </c>
      <c r="B293" s="169"/>
      <c r="C293" s="169"/>
      <c r="D293" s="169"/>
      <c r="E293" s="169"/>
      <c r="F293" s="169"/>
      <c r="G293" s="169"/>
      <c r="H293" s="169"/>
      <c r="I293" s="169"/>
      <c r="J293" s="40">
        <f>SUM(J289:J292)</f>
        <v>980.8</v>
      </c>
    </row>
    <row r="294" spans="1:10" ht="16.5" customHeight="1" x14ac:dyDescent="0.25">
      <c r="A294" s="16" t="str">
        <f>'Plan. Orçamentária'!A49</f>
        <v>6.9</v>
      </c>
      <c r="B294" s="166" t="str">
        <f>'Plan. Orçamentária'!D49</f>
        <v xml:space="preserve">Demolição de passeio ou laje de concreto com equipamento, inclusive afastamento </v>
      </c>
      <c r="C294" s="166"/>
      <c r="D294" s="166"/>
      <c r="E294" s="166"/>
      <c r="F294" s="166"/>
      <c r="G294" s="166"/>
      <c r="H294" s="166"/>
      <c r="I294" s="166"/>
      <c r="J294" s="166"/>
    </row>
    <row r="295" spans="1:10" ht="16.5" customHeight="1" x14ac:dyDescent="0.25">
      <c r="A295" s="167" t="s">
        <v>12</v>
      </c>
      <c r="B295" s="167"/>
      <c r="C295" s="167"/>
      <c r="D295" s="114" t="s">
        <v>13</v>
      </c>
      <c r="E295" s="114" t="s">
        <v>14</v>
      </c>
      <c r="F295" s="114" t="s">
        <v>15</v>
      </c>
      <c r="G295" s="114" t="s">
        <v>16</v>
      </c>
      <c r="H295" s="114" t="s">
        <v>18</v>
      </c>
      <c r="I295" s="114" t="s">
        <v>27</v>
      </c>
      <c r="J295" s="114" t="s">
        <v>19</v>
      </c>
    </row>
    <row r="296" spans="1:10" ht="16.5" customHeight="1" x14ac:dyDescent="0.25">
      <c r="A296" s="180" t="s">
        <v>280</v>
      </c>
      <c r="B296" s="180"/>
      <c r="C296" s="180"/>
      <c r="D296" s="5"/>
      <c r="E296" s="5"/>
      <c r="F296" s="5"/>
      <c r="G296" s="5"/>
      <c r="H296" s="5"/>
      <c r="I296" s="5"/>
      <c r="J296" s="5"/>
    </row>
    <row r="297" spans="1:10" ht="16.5" customHeight="1" x14ac:dyDescent="0.25">
      <c r="A297" s="224" t="s">
        <v>317</v>
      </c>
      <c r="B297" s="224"/>
      <c r="C297" s="224"/>
      <c r="D297" s="5"/>
      <c r="E297" s="5"/>
      <c r="F297" s="5"/>
      <c r="G297" s="5"/>
      <c r="H297" s="5">
        <v>191.65</v>
      </c>
      <c r="I297" s="5"/>
      <c r="J297" s="5">
        <f>PRODUCT(D297:H297)-I297</f>
        <v>191.65</v>
      </c>
    </row>
    <row r="298" spans="1:10" ht="16.5" customHeight="1" x14ac:dyDescent="0.25">
      <c r="A298" s="169" t="str">
        <f>"TOTAL - "&amp;'Plan. Orçamentária'!F49</f>
        <v>TOTAL - M2</v>
      </c>
      <c r="B298" s="169"/>
      <c r="C298" s="169"/>
      <c r="D298" s="169"/>
      <c r="E298" s="169"/>
      <c r="F298" s="169"/>
      <c r="G298" s="169"/>
      <c r="H298" s="169"/>
      <c r="I298" s="169"/>
      <c r="J298" s="40">
        <f>SUM(J296:J297)</f>
        <v>191.65</v>
      </c>
    </row>
    <row r="299" spans="1:10" ht="16.5" customHeight="1" x14ac:dyDescent="0.25">
      <c r="A299" s="16" t="str">
        <f>'Plan. Orçamentária'!A50</f>
        <v>6.10</v>
      </c>
      <c r="B299" s="166" t="str">
        <f>'Plan. Orçamentária'!D50</f>
        <v>Transporte de material demolido em caçamba</v>
      </c>
      <c r="C299" s="166"/>
      <c r="D299" s="166"/>
      <c r="E299" s="166"/>
      <c r="F299" s="166"/>
      <c r="G299" s="166"/>
      <c r="H299" s="166"/>
      <c r="I299" s="166"/>
      <c r="J299" s="166"/>
    </row>
    <row r="300" spans="1:10" ht="16.5" customHeight="1" x14ac:dyDescent="0.25">
      <c r="A300" s="167" t="s">
        <v>12</v>
      </c>
      <c r="B300" s="167"/>
      <c r="C300" s="167"/>
      <c r="D300" s="114" t="s">
        <v>13</v>
      </c>
      <c r="E300" s="114" t="s">
        <v>14</v>
      </c>
      <c r="F300" s="114" t="s">
        <v>15</v>
      </c>
      <c r="G300" s="114" t="s">
        <v>16</v>
      </c>
      <c r="H300" s="114" t="s">
        <v>18</v>
      </c>
      <c r="I300" s="114" t="s">
        <v>122</v>
      </c>
      <c r="J300" s="114" t="s">
        <v>19</v>
      </c>
    </row>
    <row r="301" spans="1:10" ht="16.5" customHeight="1" x14ac:dyDescent="0.25">
      <c r="A301" s="168" t="s">
        <v>273</v>
      </c>
      <c r="B301" s="168"/>
      <c r="C301" s="168"/>
      <c r="D301" s="5"/>
      <c r="E301" s="5"/>
      <c r="F301" s="5">
        <v>0.08</v>
      </c>
      <c r="G301" s="5">
        <f>J298</f>
        <v>191.65</v>
      </c>
      <c r="H301" s="5"/>
      <c r="I301" s="5">
        <v>1.5</v>
      </c>
      <c r="J301" s="5">
        <f>PRODUCT(D301:I301)</f>
        <v>23</v>
      </c>
    </row>
    <row r="302" spans="1:10" ht="16.5" customHeight="1" x14ac:dyDescent="0.25">
      <c r="A302" s="169" t="str">
        <f>"TOTAL - "&amp;'Plan. Orçamentária'!F50</f>
        <v>TOTAL - M3</v>
      </c>
      <c r="B302" s="169"/>
      <c r="C302" s="169"/>
      <c r="D302" s="169"/>
      <c r="E302" s="169"/>
      <c r="F302" s="169"/>
      <c r="G302" s="169"/>
      <c r="H302" s="169"/>
      <c r="I302" s="169"/>
      <c r="J302" s="40">
        <f>SUM(J301:J301)</f>
        <v>23</v>
      </c>
    </row>
    <row r="303" spans="1:10" ht="16.5" customHeight="1" x14ac:dyDescent="0.25">
      <c r="A303" s="16" t="str">
        <f>'Plan. Orçamentária'!A51</f>
        <v>6.11</v>
      </c>
      <c r="B303" s="166" t="str">
        <f>'Plan. Orçamentária'!D51</f>
        <v>Passeios de concreto E= 8cm, FCK = 15 Mpa Padrão prefeitura</v>
      </c>
      <c r="C303" s="166"/>
      <c r="D303" s="166"/>
      <c r="E303" s="166"/>
      <c r="F303" s="166"/>
      <c r="G303" s="166"/>
      <c r="H303" s="166"/>
      <c r="I303" s="166"/>
      <c r="J303" s="166"/>
    </row>
    <row r="304" spans="1:10" ht="16.5" customHeight="1" x14ac:dyDescent="0.25">
      <c r="A304" s="167" t="s">
        <v>12</v>
      </c>
      <c r="B304" s="167"/>
      <c r="C304" s="167"/>
      <c r="D304" s="114" t="s">
        <v>13</v>
      </c>
      <c r="E304" s="114" t="s">
        <v>14</v>
      </c>
      <c r="F304" s="114" t="s">
        <v>15</v>
      </c>
      <c r="G304" s="114" t="s">
        <v>16</v>
      </c>
      <c r="H304" s="114" t="s">
        <v>18</v>
      </c>
      <c r="I304" s="114" t="s">
        <v>27</v>
      </c>
      <c r="J304" s="114" t="s">
        <v>19</v>
      </c>
    </row>
    <row r="305" spans="1:10" ht="16.5" customHeight="1" x14ac:dyDescent="0.25">
      <c r="A305" s="180" t="s">
        <v>279</v>
      </c>
      <c r="B305" s="180"/>
      <c r="C305" s="180"/>
      <c r="D305" s="5"/>
      <c r="E305" s="5"/>
      <c r="F305" s="5"/>
      <c r="G305" s="5"/>
      <c r="H305" s="5"/>
      <c r="I305" s="5"/>
      <c r="J305" s="5"/>
    </row>
    <row r="306" spans="1:10" ht="16.5" customHeight="1" x14ac:dyDescent="0.25">
      <c r="A306" s="168" t="s">
        <v>328</v>
      </c>
      <c r="B306" s="168"/>
      <c r="C306" s="168"/>
      <c r="D306" s="5"/>
      <c r="E306" s="5"/>
      <c r="F306" s="5"/>
      <c r="G306" s="5"/>
      <c r="H306" s="5">
        <f>389.6+294.3</f>
        <v>683.9</v>
      </c>
      <c r="I306" s="5"/>
      <c r="J306" s="5">
        <f>PRODUCT(D306:I306)</f>
        <v>683.9</v>
      </c>
    </row>
    <row r="307" spans="1:10" ht="16.5" customHeight="1" x14ac:dyDescent="0.25">
      <c r="A307" s="168" t="s">
        <v>329</v>
      </c>
      <c r="B307" s="168"/>
      <c r="C307" s="168"/>
      <c r="D307" s="5"/>
      <c r="E307" s="5"/>
      <c r="F307" s="5"/>
      <c r="G307" s="5"/>
      <c r="H307" s="5">
        <v>14.89</v>
      </c>
      <c r="I307" s="5"/>
      <c r="J307" s="5">
        <f>PRODUCT(D307:I307)</f>
        <v>14.89</v>
      </c>
    </row>
    <row r="308" spans="1:10" ht="16.5" customHeight="1" x14ac:dyDescent="0.25">
      <c r="A308" s="180" t="s">
        <v>280</v>
      </c>
      <c r="B308" s="180"/>
      <c r="C308" s="180"/>
      <c r="D308" s="5"/>
      <c r="E308" s="5"/>
      <c r="F308" s="5"/>
      <c r="G308" s="5"/>
      <c r="H308" s="5"/>
      <c r="I308" s="5"/>
      <c r="J308" s="5"/>
    </row>
    <row r="309" spans="1:10" ht="16.5" customHeight="1" x14ac:dyDescent="0.25">
      <c r="A309" s="168" t="s">
        <v>328</v>
      </c>
      <c r="B309" s="168"/>
      <c r="C309" s="168"/>
      <c r="D309" s="5"/>
      <c r="E309" s="5"/>
      <c r="F309" s="5"/>
      <c r="G309" s="5"/>
      <c r="H309" s="5">
        <v>1084.32</v>
      </c>
      <c r="I309" s="5"/>
      <c r="J309" s="5">
        <f>PRODUCT(D309:I309)</f>
        <v>1084.32</v>
      </c>
    </row>
    <row r="310" spans="1:10" ht="16.5" customHeight="1" x14ac:dyDescent="0.25">
      <c r="A310" s="168" t="s">
        <v>329</v>
      </c>
      <c r="B310" s="168"/>
      <c r="C310" s="168"/>
      <c r="D310" s="5"/>
      <c r="E310" s="5"/>
      <c r="F310" s="5"/>
      <c r="G310" s="5"/>
      <c r="H310" s="5">
        <f>55.61+80.14+118.48+39.64+44.23+45.37+102.57</f>
        <v>486.04</v>
      </c>
      <c r="I310" s="5"/>
      <c r="J310" s="5">
        <f>PRODUCT(D310:I310)</f>
        <v>486.04</v>
      </c>
    </row>
    <row r="311" spans="1:10" ht="16.5" customHeight="1" x14ac:dyDescent="0.25">
      <c r="A311" s="169" t="str">
        <f>"TOTAL - "&amp;'Plan. Orçamentária'!F51</f>
        <v>TOTAL - M2</v>
      </c>
      <c r="B311" s="169"/>
      <c r="C311" s="169"/>
      <c r="D311" s="169"/>
      <c r="E311" s="169"/>
      <c r="F311" s="169"/>
      <c r="G311" s="169"/>
      <c r="H311" s="169"/>
      <c r="I311" s="169"/>
      <c r="J311" s="40">
        <f>SUM(J305:J310)</f>
        <v>2269.15</v>
      </c>
    </row>
    <row r="312" spans="1:10" ht="25.5" customHeight="1" x14ac:dyDescent="0.25">
      <c r="A312" s="16" t="str">
        <f>'Plan. Orçamentária'!A52</f>
        <v>6.12</v>
      </c>
      <c r="B312" s="166" t="str">
        <f>'Plan. Orçamentária'!D52</f>
        <v>Meio-fio em concreto pré-fabricado Fck ≥ 15MPa, dimensões 80x13x10x35 cm (comprimento x face inferior x face superior x altura), para vias urbanas, inclusive escavação e reaterro</v>
      </c>
      <c r="C312" s="166"/>
      <c r="D312" s="166"/>
      <c r="E312" s="166"/>
      <c r="F312" s="166"/>
      <c r="G312" s="166"/>
      <c r="H312" s="166"/>
      <c r="I312" s="166"/>
      <c r="J312" s="166"/>
    </row>
    <row r="313" spans="1:10" ht="16.5" customHeight="1" x14ac:dyDescent="0.25">
      <c r="A313" s="167" t="s">
        <v>12</v>
      </c>
      <c r="B313" s="167"/>
      <c r="C313" s="167"/>
      <c r="D313" s="45" t="s">
        <v>13</v>
      </c>
      <c r="E313" s="45" t="s">
        <v>14</v>
      </c>
      <c r="F313" s="45" t="s">
        <v>15</v>
      </c>
      <c r="G313" s="45" t="s">
        <v>16</v>
      </c>
      <c r="H313" s="45" t="s">
        <v>18</v>
      </c>
      <c r="I313" s="45" t="s">
        <v>27</v>
      </c>
      <c r="J313" s="45" t="s">
        <v>19</v>
      </c>
    </row>
    <row r="314" spans="1:10" ht="16.5" customHeight="1" x14ac:dyDescent="0.25">
      <c r="A314" s="180" t="s">
        <v>279</v>
      </c>
      <c r="B314" s="180"/>
      <c r="C314" s="180"/>
      <c r="D314" s="5"/>
      <c r="E314" s="5"/>
      <c r="F314" s="5"/>
      <c r="G314" s="5"/>
      <c r="H314" s="5"/>
      <c r="I314" s="5"/>
      <c r="J314" s="5"/>
    </row>
    <row r="315" spans="1:10" ht="16.5" customHeight="1" x14ac:dyDescent="0.25">
      <c r="A315" s="168" t="s">
        <v>318</v>
      </c>
      <c r="B315" s="168"/>
      <c r="C315" s="168"/>
      <c r="D315" s="5">
        <f>J290</f>
        <v>148</v>
      </c>
      <c r="E315" s="5"/>
      <c r="F315" s="5"/>
      <c r="G315" s="5"/>
      <c r="H315" s="5"/>
      <c r="I315" s="5"/>
      <c r="J315" s="5">
        <f>PRODUCT(D315:H315)-I315</f>
        <v>148</v>
      </c>
    </row>
    <row r="316" spans="1:10" ht="16.5" customHeight="1" x14ac:dyDescent="0.25">
      <c r="A316" s="168" t="s">
        <v>231</v>
      </c>
      <c r="B316" s="168"/>
      <c r="C316" s="168"/>
      <c r="D316" s="5">
        <v>8.33</v>
      </c>
      <c r="E316" s="5"/>
      <c r="F316" s="5"/>
      <c r="G316" s="5"/>
      <c r="H316" s="5"/>
      <c r="I316" s="5"/>
      <c r="J316" s="5">
        <f t="shared" ref="J316:J322" si="16">PRODUCT(D316:H316)-I316</f>
        <v>8.33</v>
      </c>
    </row>
    <row r="317" spans="1:10" ht="16.5" customHeight="1" x14ac:dyDescent="0.25">
      <c r="A317" s="168" t="s">
        <v>232</v>
      </c>
      <c r="B317" s="168"/>
      <c r="C317" s="168"/>
      <c r="D317" s="5">
        <v>7.7</v>
      </c>
      <c r="E317" s="5"/>
      <c r="F317" s="5"/>
      <c r="G317" s="5"/>
      <c r="H317" s="5"/>
      <c r="I317" s="5"/>
      <c r="J317" s="5">
        <f t="shared" si="16"/>
        <v>7.7</v>
      </c>
    </row>
    <row r="318" spans="1:10" ht="16.5" customHeight="1" x14ac:dyDescent="0.25">
      <c r="A318" s="168" t="s">
        <v>233</v>
      </c>
      <c r="B318" s="168"/>
      <c r="C318" s="168"/>
      <c r="D318" s="5">
        <v>11.38</v>
      </c>
      <c r="E318" s="5"/>
      <c r="F318" s="5"/>
      <c r="G318" s="5"/>
      <c r="H318" s="5"/>
      <c r="I318" s="5"/>
      <c r="J318" s="5">
        <f t="shared" si="16"/>
        <v>11.38</v>
      </c>
    </row>
    <row r="319" spans="1:10" ht="16.5" customHeight="1" x14ac:dyDescent="0.25">
      <c r="A319" s="168" t="s">
        <v>234</v>
      </c>
      <c r="B319" s="168"/>
      <c r="C319" s="168"/>
      <c r="D319" s="5">
        <v>9.27</v>
      </c>
      <c r="E319" s="5"/>
      <c r="F319" s="5"/>
      <c r="G319" s="5"/>
      <c r="H319" s="5"/>
      <c r="I319" s="5"/>
      <c r="J319" s="5">
        <f t="shared" si="16"/>
        <v>9.27</v>
      </c>
    </row>
    <row r="320" spans="1:10" ht="16.5" customHeight="1" x14ac:dyDescent="0.25">
      <c r="A320" s="168" t="s">
        <v>235</v>
      </c>
      <c r="B320" s="168"/>
      <c r="C320" s="168"/>
      <c r="D320" s="5">
        <v>7.88</v>
      </c>
      <c r="E320" s="5"/>
      <c r="F320" s="5"/>
      <c r="G320" s="5"/>
      <c r="H320" s="5"/>
      <c r="I320" s="5"/>
      <c r="J320" s="5">
        <f t="shared" si="16"/>
        <v>7.88</v>
      </c>
    </row>
    <row r="321" spans="1:10" ht="16.5" customHeight="1" x14ac:dyDescent="0.25">
      <c r="A321" s="168" t="s">
        <v>236</v>
      </c>
      <c r="B321" s="168"/>
      <c r="C321" s="168"/>
      <c r="D321" s="5">
        <v>7.25</v>
      </c>
      <c r="E321" s="5"/>
      <c r="F321" s="5"/>
      <c r="G321" s="5"/>
      <c r="H321" s="5"/>
      <c r="I321" s="5"/>
      <c r="J321" s="5">
        <f t="shared" si="16"/>
        <v>7.25</v>
      </c>
    </row>
    <row r="322" spans="1:10" ht="16.5" customHeight="1" x14ac:dyDescent="0.25">
      <c r="A322" s="168" t="s">
        <v>237</v>
      </c>
      <c r="B322" s="168"/>
      <c r="C322" s="168"/>
      <c r="D322" s="5">
        <v>7.94</v>
      </c>
      <c r="E322" s="5"/>
      <c r="F322" s="5"/>
      <c r="G322" s="5"/>
      <c r="H322" s="5"/>
      <c r="I322" s="5"/>
      <c r="J322" s="5">
        <f t="shared" si="16"/>
        <v>7.94</v>
      </c>
    </row>
    <row r="323" spans="1:10" ht="16.5" customHeight="1" x14ac:dyDescent="0.25">
      <c r="A323" s="180" t="s">
        <v>280</v>
      </c>
      <c r="B323" s="180"/>
      <c r="C323" s="180"/>
      <c r="D323" s="5"/>
      <c r="E323" s="5"/>
      <c r="F323" s="5"/>
      <c r="G323" s="5"/>
      <c r="H323" s="5"/>
      <c r="I323" s="5"/>
      <c r="J323" s="5"/>
    </row>
    <row r="324" spans="1:10" ht="16.5" customHeight="1" x14ac:dyDescent="0.25">
      <c r="A324" s="168" t="s">
        <v>318</v>
      </c>
      <c r="B324" s="168"/>
      <c r="C324" s="168"/>
      <c r="D324" s="5">
        <f>J292</f>
        <v>832.8</v>
      </c>
      <c r="E324" s="5"/>
      <c r="F324" s="5"/>
      <c r="G324" s="5"/>
      <c r="H324" s="5"/>
      <c r="I324" s="5"/>
      <c r="J324" s="5">
        <f>PRODUCT(D324:H324)-I324</f>
        <v>832.8</v>
      </c>
    </row>
    <row r="325" spans="1:10" ht="16.5" customHeight="1" x14ac:dyDescent="0.25">
      <c r="A325" s="168" t="s">
        <v>319</v>
      </c>
      <c r="B325" s="168"/>
      <c r="C325" s="168"/>
      <c r="D325" s="5">
        <v>19</v>
      </c>
      <c r="E325" s="5"/>
      <c r="F325" s="5"/>
      <c r="G325" s="5"/>
      <c r="H325" s="5"/>
      <c r="I325" s="5"/>
      <c r="J325" s="5">
        <f>PRODUCT(D325:H325)-I325</f>
        <v>19</v>
      </c>
    </row>
    <row r="326" spans="1:10" ht="16.5" customHeight="1" x14ac:dyDescent="0.25">
      <c r="A326" s="169" t="str">
        <f>"TOTAL - "&amp;'Plan. Orçamentária'!F52</f>
        <v>TOTAL - M</v>
      </c>
      <c r="B326" s="169"/>
      <c r="C326" s="169"/>
      <c r="D326" s="169"/>
      <c r="E326" s="169"/>
      <c r="F326" s="169"/>
      <c r="G326" s="169"/>
      <c r="H326" s="169"/>
      <c r="I326" s="169"/>
      <c r="J326" s="40">
        <f>SUM(J315:J325)</f>
        <v>1059.55</v>
      </c>
    </row>
    <row r="327" spans="1:10" ht="27.75" customHeight="1" x14ac:dyDescent="0.25">
      <c r="A327" s="16" t="str">
        <f>'Plan. Orçamentária'!A53</f>
        <v>6.13</v>
      </c>
      <c r="B327" s="166" t="str">
        <f>'Plan. Orçamentária'!D53</f>
        <v>Pavimentação de via em piso de concreto pré-moldado intertravado sobre camada de assentamento em pó de pedra, espessura de 6 cm, incluindo fornecimento e transporte de todos os materiais</v>
      </c>
      <c r="C327" s="166"/>
      <c r="D327" s="166"/>
      <c r="E327" s="166"/>
      <c r="F327" s="166"/>
      <c r="G327" s="166"/>
      <c r="H327" s="166"/>
      <c r="I327" s="166"/>
      <c r="J327" s="166"/>
    </row>
    <row r="328" spans="1:10" ht="16.5" customHeight="1" x14ac:dyDescent="0.25">
      <c r="A328" s="167" t="s">
        <v>12</v>
      </c>
      <c r="B328" s="167"/>
      <c r="C328" s="167"/>
      <c r="D328" s="45" t="s">
        <v>13</v>
      </c>
      <c r="E328" s="45" t="s">
        <v>14</v>
      </c>
      <c r="F328" s="45" t="s">
        <v>15</v>
      </c>
      <c r="G328" s="45" t="s">
        <v>16</v>
      </c>
      <c r="H328" s="45" t="s">
        <v>18</v>
      </c>
      <c r="I328" s="45" t="s">
        <v>27</v>
      </c>
      <c r="J328" s="45" t="s">
        <v>19</v>
      </c>
    </row>
    <row r="329" spans="1:10" ht="16.5" customHeight="1" x14ac:dyDescent="0.25">
      <c r="A329" s="180" t="s">
        <v>279</v>
      </c>
      <c r="B329" s="180"/>
      <c r="C329" s="180"/>
      <c r="D329" s="5"/>
      <c r="E329" s="5"/>
      <c r="F329" s="5"/>
      <c r="G329" s="5"/>
      <c r="H329" s="5"/>
      <c r="I329" s="5"/>
      <c r="J329" s="5"/>
    </row>
    <row r="330" spans="1:10" ht="16.5" customHeight="1" x14ac:dyDescent="0.25">
      <c r="A330" s="168" t="s">
        <v>228</v>
      </c>
      <c r="B330" s="168"/>
      <c r="C330" s="168"/>
      <c r="D330" s="5"/>
      <c r="E330" s="5"/>
      <c r="F330" s="5"/>
      <c r="G330" s="5"/>
      <c r="H330" s="5">
        <v>1296.28</v>
      </c>
      <c r="I330" s="5"/>
      <c r="J330" s="5">
        <f>PRODUCT(D330:H330)-I330</f>
        <v>1296.28</v>
      </c>
    </row>
    <row r="331" spans="1:10" ht="16.5" customHeight="1" x14ac:dyDescent="0.25">
      <c r="A331" s="168" t="s">
        <v>229</v>
      </c>
      <c r="B331" s="168"/>
      <c r="C331" s="168"/>
      <c r="D331" s="5"/>
      <c r="E331" s="5"/>
      <c r="F331" s="5"/>
      <c r="G331" s="5"/>
      <c r="H331" s="5">
        <v>334.43</v>
      </c>
      <c r="I331" s="5"/>
      <c r="J331" s="5">
        <f>PRODUCT(D331:H331)-I331</f>
        <v>334.43</v>
      </c>
    </row>
    <row r="332" spans="1:10" ht="16.5" customHeight="1" x14ac:dyDescent="0.25">
      <c r="A332" s="180" t="s">
        <v>280</v>
      </c>
      <c r="B332" s="180"/>
      <c r="C332" s="180"/>
      <c r="D332" s="5"/>
      <c r="E332" s="5"/>
      <c r="F332" s="5"/>
      <c r="G332" s="5"/>
      <c r="H332" s="5"/>
      <c r="I332" s="5"/>
      <c r="J332" s="5"/>
    </row>
    <row r="333" spans="1:10" ht="16.5" customHeight="1" x14ac:dyDescent="0.25">
      <c r="A333" s="181" t="s">
        <v>324</v>
      </c>
      <c r="B333" s="182"/>
      <c r="C333" s="183"/>
      <c r="D333" s="5"/>
      <c r="E333" s="5"/>
      <c r="F333" s="5"/>
      <c r="G333" s="5"/>
      <c r="H333" s="5">
        <v>3430.45</v>
      </c>
      <c r="I333" s="5"/>
      <c r="J333" s="5">
        <f>PRODUCT(D333:H333)-I333</f>
        <v>3430.45</v>
      </c>
    </row>
    <row r="334" spans="1:10" ht="16.5" customHeight="1" x14ac:dyDescent="0.25">
      <c r="A334" s="169" t="str">
        <f>"TOTAL - "&amp;'Plan. Orçamentária'!F53</f>
        <v>TOTAL - M2</v>
      </c>
      <c r="B334" s="169"/>
      <c r="C334" s="169"/>
      <c r="D334" s="169"/>
      <c r="E334" s="169"/>
      <c r="F334" s="169"/>
      <c r="G334" s="169"/>
      <c r="H334" s="169"/>
      <c r="I334" s="169"/>
      <c r="J334" s="40">
        <f>SUM(J330:J333)</f>
        <v>5061.16</v>
      </c>
    </row>
    <row r="335" spans="1:10" ht="16.5" customHeight="1" x14ac:dyDescent="0.25">
      <c r="A335" s="16" t="str">
        <f>'Plan. Orçamentária'!A54</f>
        <v>6.14</v>
      </c>
      <c r="B335" s="166" t="str">
        <f>'Plan. Orçamentária'!D54</f>
        <v>Sarjeta em concreto usinado, Fck ≥ 35 MPa, 30cm de base x 10cm de altura, incluindo formas e compactação do terreno</v>
      </c>
      <c r="C335" s="166"/>
      <c r="D335" s="166"/>
      <c r="E335" s="166"/>
      <c r="F335" s="166"/>
      <c r="G335" s="166"/>
      <c r="H335" s="166"/>
      <c r="I335" s="166"/>
      <c r="J335" s="166"/>
    </row>
    <row r="336" spans="1:10" ht="16.5" customHeight="1" x14ac:dyDescent="0.25">
      <c r="A336" s="167" t="s">
        <v>12</v>
      </c>
      <c r="B336" s="167"/>
      <c r="C336" s="167"/>
      <c r="D336" s="45" t="s">
        <v>13</v>
      </c>
      <c r="E336" s="45" t="s">
        <v>14</v>
      </c>
      <c r="F336" s="45" t="s">
        <v>15</v>
      </c>
      <c r="G336" s="45" t="s">
        <v>16</v>
      </c>
      <c r="H336" s="45" t="s">
        <v>18</v>
      </c>
      <c r="I336" s="45" t="s">
        <v>27</v>
      </c>
      <c r="J336" s="45" t="s">
        <v>19</v>
      </c>
    </row>
    <row r="337" spans="1:10" ht="16.5" customHeight="1" x14ac:dyDescent="0.25">
      <c r="A337" s="180" t="s">
        <v>279</v>
      </c>
      <c r="B337" s="180"/>
      <c r="C337" s="180"/>
      <c r="D337" s="5"/>
      <c r="E337" s="5"/>
      <c r="F337" s="5"/>
      <c r="G337" s="5"/>
      <c r="H337" s="5"/>
      <c r="I337" s="5"/>
      <c r="J337" s="5"/>
    </row>
    <row r="338" spans="1:10" ht="16.5" customHeight="1" x14ac:dyDescent="0.25">
      <c r="A338" s="168" t="s">
        <v>228</v>
      </c>
      <c r="B338" s="168"/>
      <c r="C338" s="168"/>
      <c r="D338" s="5">
        <v>374.42</v>
      </c>
      <c r="E338" s="5"/>
      <c r="F338" s="5"/>
      <c r="G338" s="5"/>
      <c r="H338" s="5"/>
      <c r="I338" s="5"/>
      <c r="J338" s="5">
        <f>PRODUCT(D338:H338)-I338</f>
        <v>374.42</v>
      </c>
    </row>
    <row r="339" spans="1:10" ht="16.5" customHeight="1" x14ac:dyDescent="0.25">
      <c r="A339" s="168" t="s">
        <v>229</v>
      </c>
      <c r="B339" s="168"/>
      <c r="C339" s="168"/>
      <c r="D339" s="5">
        <v>105.24</v>
      </c>
      <c r="E339" s="5"/>
      <c r="F339" s="5"/>
      <c r="G339" s="5"/>
      <c r="H339" s="5"/>
      <c r="I339" s="5"/>
      <c r="J339" s="5">
        <f>PRODUCT(D339:H339)-I339</f>
        <v>105.24</v>
      </c>
    </row>
    <row r="340" spans="1:10" ht="16.5" customHeight="1" x14ac:dyDescent="0.25">
      <c r="A340" s="180" t="s">
        <v>280</v>
      </c>
      <c r="B340" s="180"/>
      <c r="C340" s="180"/>
      <c r="D340" s="5"/>
      <c r="E340" s="5"/>
      <c r="F340" s="5"/>
      <c r="G340" s="5"/>
      <c r="H340" s="5"/>
      <c r="I340" s="5"/>
      <c r="J340" s="5"/>
    </row>
    <row r="341" spans="1:10" ht="16.5" customHeight="1" x14ac:dyDescent="0.25">
      <c r="A341" s="181" t="s">
        <v>325</v>
      </c>
      <c r="B341" s="182"/>
      <c r="C341" s="183"/>
      <c r="D341" s="5">
        <v>1101.0999999999999</v>
      </c>
      <c r="E341" s="5"/>
      <c r="F341" s="5"/>
      <c r="G341" s="5"/>
      <c r="H341" s="5"/>
      <c r="I341" s="5"/>
      <c r="J341" s="5">
        <f>PRODUCT(D341:H341)-I341</f>
        <v>1101.0999999999999</v>
      </c>
    </row>
    <row r="342" spans="1:10" ht="16.5" customHeight="1" x14ac:dyDescent="0.25">
      <c r="A342" s="169" t="str">
        <f>"TOTAL - "&amp;'Plan. Orçamentária'!F54</f>
        <v>TOTAL - M</v>
      </c>
      <c r="B342" s="169"/>
      <c r="C342" s="169"/>
      <c r="D342" s="169"/>
      <c r="E342" s="169"/>
      <c r="F342" s="169"/>
      <c r="G342" s="169"/>
      <c r="H342" s="169"/>
      <c r="I342" s="169"/>
      <c r="J342" s="40">
        <f>SUM(J338:J341)</f>
        <v>1580.76</v>
      </c>
    </row>
    <row r="343" spans="1:10" ht="16.5" customHeight="1" x14ac:dyDescent="0.25">
      <c r="A343" s="47">
        <f>'Plan. Orçamentária'!A56</f>
        <v>7</v>
      </c>
      <c r="B343" s="179" t="str">
        <f>'Plan. Orçamentária'!D56</f>
        <v>MURO DE CONTENÇÃO</v>
      </c>
      <c r="C343" s="179"/>
      <c r="D343" s="179"/>
      <c r="E343" s="179"/>
      <c r="F343" s="179"/>
      <c r="G343" s="179"/>
      <c r="H343" s="179"/>
      <c r="I343" s="179"/>
      <c r="J343" s="179"/>
    </row>
    <row r="344" spans="1:10" ht="16.5" customHeight="1" x14ac:dyDescent="0.25">
      <c r="A344" s="16" t="str">
        <f>'Plan. Orçamentária'!A57</f>
        <v>7.1</v>
      </c>
      <c r="B344" s="166" t="str">
        <f>'Plan. Orçamentária'!D57</f>
        <v>Mureta de bloco de concreto, esp. 15cm, h= 105cm, a revestir</v>
      </c>
      <c r="C344" s="166"/>
      <c r="D344" s="166"/>
      <c r="E344" s="166"/>
      <c r="F344" s="166"/>
      <c r="G344" s="166"/>
      <c r="H344" s="166"/>
      <c r="I344" s="166"/>
      <c r="J344" s="166"/>
    </row>
    <row r="345" spans="1:10" ht="16.5" customHeight="1" x14ac:dyDescent="0.25">
      <c r="A345" s="167" t="s">
        <v>12</v>
      </c>
      <c r="B345" s="167"/>
      <c r="C345" s="167"/>
      <c r="D345" s="126" t="s">
        <v>13</v>
      </c>
      <c r="E345" s="126" t="s">
        <v>14</v>
      </c>
      <c r="F345" s="126" t="s">
        <v>15</v>
      </c>
      <c r="G345" s="126" t="s">
        <v>16</v>
      </c>
      <c r="H345" s="126" t="s">
        <v>18</v>
      </c>
      <c r="I345" s="126" t="s">
        <v>27</v>
      </c>
      <c r="J345" s="126" t="s">
        <v>19</v>
      </c>
    </row>
    <row r="346" spans="1:10" ht="16.5" customHeight="1" x14ac:dyDescent="0.25">
      <c r="A346" s="168" t="s">
        <v>363</v>
      </c>
      <c r="B346" s="168"/>
      <c r="C346" s="168"/>
      <c r="D346" s="5">
        <v>111.15</v>
      </c>
      <c r="E346" s="5"/>
      <c r="F346" s="5"/>
      <c r="G346" s="5"/>
      <c r="H346" s="5"/>
      <c r="I346" s="5"/>
      <c r="J346" s="5">
        <f>PRODUCT(D346:I346)</f>
        <v>111.15</v>
      </c>
    </row>
    <row r="347" spans="1:10" ht="16.5" customHeight="1" x14ac:dyDescent="0.25">
      <c r="A347" s="169" t="str">
        <f>"TOTAL - "&amp;'Plan. Orçamentária'!F57</f>
        <v>TOTAL - M</v>
      </c>
      <c r="B347" s="169"/>
      <c r="C347" s="169"/>
      <c r="D347" s="169"/>
      <c r="E347" s="169"/>
      <c r="F347" s="169"/>
      <c r="G347" s="169"/>
      <c r="H347" s="169"/>
      <c r="I347" s="169"/>
      <c r="J347" s="40">
        <f>SUM(J346:J346)</f>
        <v>111.15</v>
      </c>
    </row>
    <row r="348" spans="1:10" ht="16.5" customHeight="1" x14ac:dyDescent="0.25">
      <c r="A348" s="16" t="str">
        <f>'Plan. Orçamentária'!A58</f>
        <v>7.2</v>
      </c>
      <c r="B348" s="166" t="str">
        <f>'Plan. Orçamentária'!D58</f>
        <v>Dreno de PVC ø = 75mm, comprimento unitário = 15 cm (execução, incluindo o fornecimento e transporte de todos os materiais)</v>
      </c>
      <c r="C348" s="166"/>
      <c r="D348" s="166"/>
      <c r="E348" s="166"/>
      <c r="F348" s="166"/>
      <c r="G348" s="166"/>
      <c r="H348" s="166"/>
      <c r="I348" s="166"/>
      <c r="J348" s="166"/>
    </row>
    <row r="349" spans="1:10" ht="16.5" customHeight="1" x14ac:dyDescent="0.25">
      <c r="A349" s="167" t="s">
        <v>12</v>
      </c>
      <c r="B349" s="167"/>
      <c r="C349" s="167"/>
      <c r="D349" s="132" t="s">
        <v>13</v>
      </c>
      <c r="E349" s="132" t="s">
        <v>14</v>
      </c>
      <c r="F349" s="132" t="s">
        <v>15</v>
      </c>
      <c r="G349" s="132" t="s">
        <v>16</v>
      </c>
      <c r="H349" s="132" t="s">
        <v>18</v>
      </c>
      <c r="I349" s="132" t="s">
        <v>27</v>
      </c>
      <c r="J349" s="132" t="s">
        <v>19</v>
      </c>
    </row>
    <row r="350" spans="1:10" ht="16.5" customHeight="1" x14ac:dyDescent="0.25">
      <c r="A350" s="168" t="s">
        <v>392</v>
      </c>
      <c r="B350" s="168"/>
      <c r="C350" s="168"/>
      <c r="D350" s="5"/>
      <c r="E350" s="5"/>
      <c r="F350" s="5"/>
      <c r="G350" s="5">
        <v>10</v>
      </c>
      <c r="H350" s="5"/>
      <c r="I350" s="5"/>
      <c r="J350" s="5">
        <f>PRODUCT(D350:I350)</f>
        <v>10</v>
      </c>
    </row>
    <row r="351" spans="1:10" ht="16.5" customHeight="1" x14ac:dyDescent="0.25">
      <c r="A351" s="169" t="str">
        <f>"TOTAL - "&amp;'Plan. Orçamentária'!F58</f>
        <v>TOTAL - UN</v>
      </c>
      <c r="B351" s="169"/>
      <c r="C351" s="169"/>
      <c r="D351" s="169"/>
      <c r="E351" s="169"/>
      <c r="F351" s="169"/>
      <c r="G351" s="169"/>
      <c r="H351" s="169"/>
      <c r="I351" s="169"/>
      <c r="J351" s="40">
        <f>SUM(J350:J350)</f>
        <v>10</v>
      </c>
    </row>
    <row r="352" spans="1:10" ht="16.5" customHeight="1" x14ac:dyDescent="0.25">
      <c r="A352" s="16" t="str">
        <f>'Plan. Orçamentária'!A59</f>
        <v>7.3</v>
      </c>
      <c r="B352" s="166" t="str">
        <f>'Plan. Orçamentária'!D59</f>
        <v>Alvenaria em bloco de concreto cheio, com armação, em concreto com fck 15 MPa, esp. 19cm, para revestimento, inclusive argamassa para assentamento</v>
      </c>
      <c r="C352" s="166"/>
      <c r="D352" s="166"/>
      <c r="E352" s="166"/>
      <c r="F352" s="166"/>
      <c r="G352" s="166"/>
      <c r="H352" s="166"/>
      <c r="I352" s="166"/>
      <c r="J352" s="166"/>
    </row>
    <row r="353" spans="1:10" ht="16.5" customHeight="1" x14ac:dyDescent="0.25">
      <c r="A353" s="167" t="s">
        <v>12</v>
      </c>
      <c r="B353" s="167"/>
      <c r="C353" s="167"/>
      <c r="D353" s="132" t="s">
        <v>13</v>
      </c>
      <c r="E353" s="132" t="s">
        <v>14</v>
      </c>
      <c r="F353" s="132" t="s">
        <v>15</v>
      </c>
      <c r="G353" s="132" t="s">
        <v>16</v>
      </c>
      <c r="H353" s="132" t="s">
        <v>18</v>
      </c>
      <c r="I353" s="132" t="s">
        <v>27</v>
      </c>
      <c r="J353" s="132" t="s">
        <v>19</v>
      </c>
    </row>
    <row r="354" spans="1:10" ht="16.5" customHeight="1" x14ac:dyDescent="0.25">
      <c r="A354" s="168" t="s">
        <v>365</v>
      </c>
      <c r="B354" s="168"/>
      <c r="C354" s="168"/>
      <c r="D354" s="5"/>
      <c r="E354" s="5"/>
      <c r="F354" s="5"/>
      <c r="G354" s="5"/>
      <c r="H354" s="5">
        <v>16.45</v>
      </c>
      <c r="I354" s="5"/>
      <c r="J354" s="5">
        <f>PRODUCT(D354:I354)</f>
        <v>16.45</v>
      </c>
    </row>
    <row r="355" spans="1:10" ht="16.5" customHeight="1" x14ac:dyDescent="0.25">
      <c r="A355" s="168" t="s">
        <v>366</v>
      </c>
      <c r="B355" s="168"/>
      <c r="C355" s="168"/>
      <c r="D355" s="5"/>
      <c r="E355" s="5"/>
      <c r="F355" s="5"/>
      <c r="G355" s="5"/>
      <c r="H355" s="5">
        <v>9.6999999999999993</v>
      </c>
      <c r="I355" s="5"/>
      <c r="J355" s="5">
        <f t="shared" ref="J355:J356" si="17">PRODUCT(D355:I355)</f>
        <v>9.6999999999999993</v>
      </c>
    </row>
    <row r="356" spans="1:10" ht="16.5" customHeight="1" x14ac:dyDescent="0.25">
      <c r="A356" s="168" t="s">
        <v>367</v>
      </c>
      <c r="B356" s="168"/>
      <c r="C356" s="168"/>
      <c r="D356" s="5"/>
      <c r="E356" s="5"/>
      <c r="F356" s="5"/>
      <c r="G356" s="5"/>
      <c r="H356" s="5">
        <v>433.8</v>
      </c>
      <c r="I356" s="5"/>
      <c r="J356" s="5">
        <f t="shared" si="17"/>
        <v>433.8</v>
      </c>
    </row>
    <row r="357" spans="1:10" ht="16.5" customHeight="1" x14ac:dyDescent="0.25">
      <c r="A357" s="169" t="str">
        <f>"TOTAL - "&amp;'Plan. Orçamentária'!F59</f>
        <v>TOTAL - M2</v>
      </c>
      <c r="B357" s="169"/>
      <c r="C357" s="169"/>
      <c r="D357" s="169"/>
      <c r="E357" s="169"/>
      <c r="F357" s="169"/>
      <c r="G357" s="169"/>
      <c r="H357" s="169"/>
      <c r="I357" s="169"/>
      <c r="J357" s="40">
        <f>SUM(J354:J356)</f>
        <v>459.95</v>
      </c>
    </row>
    <row r="358" spans="1:10" ht="16.5" customHeight="1" x14ac:dyDescent="0.25">
      <c r="A358" s="16" t="str">
        <f>'Plan. Orçamentária'!A60</f>
        <v>7.4</v>
      </c>
      <c r="B358" s="166" t="str">
        <f>'Plan. Orçamentária'!D60</f>
        <v>Escavação manual para bloco de coroamento ou sapata</v>
      </c>
      <c r="C358" s="166"/>
      <c r="D358" s="166"/>
      <c r="E358" s="166"/>
      <c r="F358" s="166"/>
      <c r="G358" s="166"/>
      <c r="H358" s="166"/>
      <c r="I358" s="166"/>
      <c r="J358" s="166"/>
    </row>
    <row r="359" spans="1:10" ht="16.5" customHeight="1" x14ac:dyDescent="0.25">
      <c r="A359" s="167" t="s">
        <v>12</v>
      </c>
      <c r="B359" s="167"/>
      <c r="C359" s="167"/>
      <c r="D359" s="132" t="s">
        <v>13</v>
      </c>
      <c r="E359" s="132" t="s">
        <v>14</v>
      </c>
      <c r="F359" s="132" t="s">
        <v>15</v>
      </c>
      <c r="G359" s="132" t="s">
        <v>16</v>
      </c>
      <c r="H359" s="132" t="s">
        <v>18</v>
      </c>
      <c r="I359" s="132" t="s">
        <v>27</v>
      </c>
      <c r="J359" s="132" t="s">
        <v>19</v>
      </c>
    </row>
    <row r="360" spans="1:10" ht="16.5" customHeight="1" x14ac:dyDescent="0.25">
      <c r="A360" s="168" t="s">
        <v>365</v>
      </c>
      <c r="B360" s="168"/>
      <c r="C360" s="168"/>
      <c r="D360" s="5">
        <v>0.5</v>
      </c>
      <c r="E360" s="5">
        <v>0.5</v>
      </c>
      <c r="F360" s="5">
        <v>0.4</v>
      </c>
      <c r="G360" s="5">
        <v>5</v>
      </c>
      <c r="H360" s="5"/>
      <c r="I360" s="5"/>
      <c r="J360" s="5">
        <f>PRODUCT(D360:I360)</f>
        <v>0.5</v>
      </c>
    </row>
    <row r="361" spans="1:10" ht="16.5" customHeight="1" x14ac:dyDescent="0.25">
      <c r="A361" s="168" t="s">
        <v>366</v>
      </c>
      <c r="B361" s="168"/>
      <c r="C361" s="168"/>
      <c r="D361" s="5">
        <v>0.5</v>
      </c>
      <c r="E361" s="5">
        <v>0.5</v>
      </c>
      <c r="F361" s="5">
        <v>0.4</v>
      </c>
      <c r="G361" s="5">
        <v>3</v>
      </c>
      <c r="H361" s="5"/>
      <c r="I361" s="5"/>
      <c r="J361" s="5">
        <f t="shared" ref="J361" si="18">PRODUCT(D361:I361)</f>
        <v>0.3</v>
      </c>
    </row>
    <row r="362" spans="1:10" ht="16.5" customHeight="1" x14ac:dyDescent="0.25">
      <c r="A362" s="168" t="s">
        <v>367</v>
      </c>
      <c r="B362" s="168"/>
      <c r="C362" s="168"/>
      <c r="D362" s="5">
        <v>0.5</v>
      </c>
      <c r="E362" s="5">
        <v>0.5</v>
      </c>
      <c r="F362" s="5">
        <v>0.4</v>
      </c>
      <c r="G362" s="5">
        <v>8</v>
      </c>
      <c r="H362" s="5"/>
      <c r="I362" s="5"/>
      <c r="J362" s="5">
        <f>PRODUCT(D362:I362)</f>
        <v>0.8</v>
      </c>
    </row>
    <row r="363" spans="1:10" ht="16.5" customHeight="1" x14ac:dyDescent="0.25">
      <c r="A363" s="169" t="str">
        <f>"TOTAL - "&amp;'Plan. Orçamentária'!F60</f>
        <v>TOTAL - M3</v>
      </c>
      <c r="B363" s="169"/>
      <c r="C363" s="169"/>
      <c r="D363" s="169"/>
      <c r="E363" s="169"/>
      <c r="F363" s="169"/>
      <c r="G363" s="169"/>
      <c r="H363" s="169"/>
      <c r="I363" s="169"/>
      <c r="J363" s="40">
        <f>SUM(J360:J362)</f>
        <v>1.6</v>
      </c>
    </row>
    <row r="364" spans="1:10" ht="16.5" customHeight="1" x14ac:dyDescent="0.25">
      <c r="A364" s="16" t="str">
        <f>'Plan. Orçamentária'!A61</f>
        <v>7.5</v>
      </c>
      <c r="B364" s="166" t="str">
        <f>'Plan. Orçamentária'!D61</f>
        <v>Apiloamento de fundo de vala com soquete</v>
      </c>
      <c r="C364" s="166"/>
      <c r="D364" s="166"/>
      <c r="E364" s="166"/>
      <c r="F364" s="166"/>
      <c r="G364" s="166"/>
      <c r="H364" s="166"/>
      <c r="I364" s="166"/>
      <c r="J364" s="166"/>
    </row>
    <row r="365" spans="1:10" ht="16.5" customHeight="1" x14ac:dyDescent="0.25">
      <c r="A365" s="167" t="s">
        <v>12</v>
      </c>
      <c r="B365" s="167"/>
      <c r="C365" s="167"/>
      <c r="D365" s="132" t="s">
        <v>13</v>
      </c>
      <c r="E365" s="132" t="s">
        <v>14</v>
      </c>
      <c r="F365" s="132" t="s">
        <v>15</v>
      </c>
      <c r="G365" s="132" t="s">
        <v>16</v>
      </c>
      <c r="H365" s="132" t="s">
        <v>18</v>
      </c>
      <c r="I365" s="132" t="s">
        <v>27</v>
      </c>
      <c r="J365" s="132" t="s">
        <v>19</v>
      </c>
    </row>
    <row r="366" spans="1:10" ht="16.5" customHeight="1" x14ac:dyDescent="0.25">
      <c r="A366" s="168" t="s">
        <v>365</v>
      </c>
      <c r="B366" s="168"/>
      <c r="C366" s="168"/>
      <c r="D366" s="5">
        <v>0.5</v>
      </c>
      <c r="E366" s="5">
        <v>0.5</v>
      </c>
      <c r="F366" s="5"/>
      <c r="G366" s="5">
        <v>5</v>
      </c>
      <c r="H366" s="5"/>
      <c r="I366" s="5"/>
      <c r="J366" s="5">
        <f>PRODUCT(D366:I366)</f>
        <v>1.25</v>
      </c>
    </row>
    <row r="367" spans="1:10" ht="16.5" customHeight="1" x14ac:dyDescent="0.25">
      <c r="A367" s="168" t="s">
        <v>366</v>
      </c>
      <c r="B367" s="168"/>
      <c r="C367" s="168"/>
      <c r="D367" s="5">
        <v>0.5</v>
      </c>
      <c r="E367" s="5">
        <v>0.5</v>
      </c>
      <c r="F367" s="5"/>
      <c r="G367" s="5">
        <v>3</v>
      </c>
      <c r="H367" s="5"/>
      <c r="I367" s="5"/>
      <c r="J367" s="5">
        <f t="shared" ref="J367" si="19">PRODUCT(D367:I367)</f>
        <v>0.75</v>
      </c>
    </row>
    <row r="368" spans="1:10" ht="16.5" customHeight="1" x14ac:dyDescent="0.25">
      <c r="A368" s="168" t="s">
        <v>367</v>
      </c>
      <c r="B368" s="168"/>
      <c r="C368" s="168"/>
      <c r="D368" s="5">
        <v>0.5</v>
      </c>
      <c r="E368" s="5">
        <v>0.5</v>
      </c>
      <c r="F368" s="5"/>
      <c r="G368" s="5">
        <v>8</v>
      </c>
      <c r="H368" s="5"/>
      <c r="I368" s="5"/>
      <c r="J368" s="5">
        <f>PRODUCT(D368:I368)</f>
        <v>2</v>
      </c>
    </row>
    <row r="369" spans="1:10" ht="16.5" customHeight="1" x14ac:dyDescent="0.25">
      <c r="A369" s="169" t="str">
        <f>"TOTAL - "&amp;'Plan. Orçamentária'!F61</f>
        <v>TOTAL - M2</v>
      </c>
      <c r="B369" s="169"/>
      <c r="C369" s="169"/>
      <c r="D369" s="169"/>
      <c r="E369" s="169"/>
      <c r="F369" s="169"/>
      <c r="G369" s="169"/>
      <c r="H369" s="169"/>
      <c r="I369" s="169"/>
      <c r="J369" s="40">
        <f>SUM(J366:J368)</f>
        <v>4</v>
      </c>
    </row>
    <row r="370" spans="1:10" ht="25.5" customHeight="1" x14ac:dyDescent="0.25">
      <c r="A370" s="16" t="str">
        <f>'Plan. Orçamentária'!A62</f>
        <v>7.6</v>
      </c>
      <c r="B370" s="166" t="str">
        <f>'Plan. Orçamentária'!D62</f>
        <v>Fornecimento de concreto estrutural, usinado bombeado, com Fck 20 MPa, inclusive corte, dobra e montagem de aço CA-50/60, lançamento, adensamento e acabamento (fundação)</v>
      </c>
      <c r="C370" s="166"/>
      <c r="D370" s="166"/>
      <c r="E370" s="166"/>
      <c r="F370" s="166"/>
      <c r="G370" s="166"/>
      <c r="H370" s="166"/>
      <c r="I370" s="166"/>
      <c r="J370" s="166"/>
    </row>
    <row r="371" spans="1:10" ht="16.5" customHeight="1" x14ac:dyDescent="0.25">
      <c r="A371" s="167" t="s">
        <v>12</v>
      </c>
      <c r="B371" s="167"/>
      <c r="C371" s="167"/>
      <c r="D371" s="132" t="s">
        <v>13</v>
      </c>
      <c r="E371" s="132" t="s">
        <v>14</v>
      </c>
      <c r="F371" s="132" t="s">
        <v>15</v>
      </c>
      <c r="G371" s="132" t="s">
        <v>16</v>
      </c>
      <c r="H371" s="132" t="s">
        <v>18</v>
      </c>
      <c r="I371" s="132" t="s">
        <v>27</v>
      </c>
      <c r="J371" s="132" t="s">
        <v>19</v>
      </c>
    </row>
    <row r="372" spans="1:10" ht="16.5" customHeight="1" x14ac:dyDescent="0.25">
      <c r="A372" s="168" t="s">
        <v>365</v>
      </c>
      <c r="B372" s="168"/>
      <c r="C372" s="168"/>
      <c r="D372" s="5">
        <v>0.5</v>
      </c>
      <c r="E372" s="5">
        <v>0.5</v>
      </c>
      <c r="F372" s="5">
        <v>0.4</v>
      </c>
      <c r="G372" s="5">
        <v>5</v>
      </c>
      <c r="H372" s="5"/>
      <c r="I372" s="5"/>
      <c r="J372" s="5">
        <f>PRODUCT(D372:I372)</f>
        <v>0.5</v>
      </c>
    </row>
    <row r="373" spans="1:10" ht="16.5" customHeight="1" x14ac:dyDescent="0.25">
      <c r="A373" s="168" t="s">
        <v>366</v>
      </c>
      <c r="B373" s="168"/>
      <c r="C373" s="168"/>
      <c r="D373" s="5">
        <v>0.5</v>
      </c>
      <c r="E373" s="5">
        <v>0.5</v>
      </c>
      <c r="F373" s="5">
        <v>0.4</v>
      </c>
      <c r="G373" s="5">
        <v>3</v>
      </c>
      <c r="H373" s="5"/>
      <c r="I373" s="5"/>
      <c r="J373" s="5">
        <f t="shared" ref="J373" si="20">PRODUCT(D373:I373)</f>
        <v>0.3</v>
      </c>
    </row>
    <row r="374" spans="1:10" ht="16.5" customHeight="1" x14ac:dyDescent="0.25">
      <c r="A374" s="168" t="s">
        <v>367</v>
      </c>
      <c r="B374" s="168"/>
      <c r="C374" s="168"/>
      <c r="D374" s="5">
        <v>0.5</v>
      </c>
      <c r="E374" s="5">
        <v>0.5</v>
      </c>
      <c r="F374" s="5">
        <v>0.4</v>
      </c>
      <c r="G374" s="5">
        <v>8</v>
      </c>
      <c r="H374" s="5"/>
      <c r="I374" s="5"/>
      <c r="J374" s="5">
        <f>PRODUCT(D374:I374)</f>
        <v>0.8</v>
      </c>
    </row>
    <row r="375" spans="1:10" ht="16.5" customHeight="1" x14ac:dyDescent="0.25">
      <c r="A375" s="169" t="str">
        <f>"TOTAL - "&amp;'Plan. Orçamentária'!F62</f>
        <v>TOTAL - M3</v>
      </c>
      <c r="B375" s="169"/>
      <c r="C375" s="169"/>
      <c r="D375" s="169"/>
      <c r="E375" s="169"/>
      <c r="F375" s="169"/>
      <c r="G375" s="169"/>
      <c r="H375" s="169"/>
      <c r="I375" s="169"/>
      <c r="J375" s="40">
        <f>SUM(J372:J374)</f>
        <v>1.6</v>
      </c>
    </row>
    <row r="376" spans="1:10" ht="16.5" customHeight="1" x14ac:dyDescent="0.25">
      <c r="A376" s="16" t="str">
        <f>'Plan. Orçamentária'!A63</f>
        <v>7.7</v>
      </c>
      <c r="B376" s="166" t="str">
        <f>'Plan. Orçamentária'!D63</f>
        <v>Pilar com concreto aparente 20 MPa, inclusive armação, forma plastificada e desforma</v>
      </c>
      <c r="C376" s="166"/>
      <c r="D376" s="166"/>
      <c r="E376" s="166"/>
      <c r="F376" s="166"/>
      <c r="G376" s="166"/>
      <c r="H376" s="166"/>
      <c r="I376" s="166"/>
      <c r="J376" s="166"/>
    </row>
    <row r="377" spans="1:10" ht="16.5" customHeight="1" x14ac:dyDescent="0.25">
      <c r="A377" s="167" t="s">
        <v>12</v>
      </c>
      <c r="B377" s="167"/>
      <c r="C377" s="167"/>
      <c r="D377" s="132" t="s">
        <v>13</v>
      </c>
      <c r="E377" s="132" t="s">
        <v>14</v>
      </c>
      <c r="F377" s="132" t="s">
        <v>15</v>
      </c>
      <c r="G377" s="132" t="s">
        <v>16</v>
      </c>
      <c r="H377" s="132" t="s">
        <v>18</v>
      </c>
      <c r="I377" s="132" t="s">
        <v>27</v>
      </c>
      <c r="J377" s="132" t="s">
        <v>19</v>
      </c>
    </row>
    <row r="378" spans="1:10" ht="16.5" customHeight="1" x14ac:dyDescent="0.25">
      <c r="A378" s="168" t="s">
        <v>365</v>
      </c>
      <c r="B378" s="168"/>
      <c r="C378" s="168"/>
      <c r="D378" s="5">
        <v>8.4</v>
      </c>
      <c r="E378" s="5">
        <v>0.15</v>
      </c>
      <c r="F378" s="5">
        <v>0.4</v>
      </c>
      <c r="G378" s="5">
        <v>5</v>
      </c>
      <c r="H378" s="5"/>
      <c r="I378" s="5"/>
      <c r="J378" s="5">
        <f>PRODUCT(D378:I378)</f>
        <v>2.52</v>
      </c>
    </row>
    <row r="379" spans="1:10" ht="16.5" customHeight="1" x14ac:dyDescent="0.25">
      <c r="A379" s="170" t="s">
        <v>366</v>
      </c>
      <c r="B379" s="171"/>
      <c r="C379" s="172"/>
      <c r="D379" s="5">
        <v>3.6</v>
      </c>
      <c r="E379" s="5">
        <v>0.15</v>
      </c>
      <c r="F379" s="5">
        <v>0.4</v>
      </c>
      <c r="G379" s="5"/>
      <c r="H379" s="5"/>
      <c r="I379" s="5"/>
      <c r="J379" s="5">
        <f t="shared" ref="J379:J389" si="21">PRODUCT(D379:I379)</f>
        <v>0.22</v>
      </c>
    </row>
    <row r="380" spans="1:10" ht="16.5" customHeight="1" x14ac:dyDescent="0.25">
      <c r="A380" s="173"/>
      <c r="B380" s="174"/>
      <c r="C380" s="175"/>
      <c r="D380" s="5">
        <v>3.25</v>
      </c>
      <c r="E380" s="5">
        <v>0.15</v>
      </c>
      <c r="F380" s="5">
        <v>0.4</v>
      </c>
      <c r="G380" s="5"/>
      <c r="H380" s="5"/>
      <c r="I380" s="5"/>
      <c r="J380" s="5">
        <f t="shared" si="21"/>
        <v>0.2</v>
      </c>
    </row>
    <row r="381" spans="1:10" ht="16.5" customHeight="1" x14ac:dyDescent="0.25">
      <c r="A381" s="176"/>
      <c r="B381" s="177"/>
      <c r="C381" s="178"/>
      <c r="D381" s="5">
        <v>2.9</v>
      </c>
      <c r="E381" s="5">
        <v>0.15</v>
      </c>
      <c r="F381" s="5">
        <v>0.4</v>
      </c>
      <c r="G381" s="5"/>
      <c r="H381" s="5"/>
      <c r="I381" s="5"/>
      <c r="J381" s="5">
        <f t="shared" si="21"/>
        <v>0.17</v>
      </c>
    </row>
    <row r="382" spans="1:10" ht="16.5" customHeight="1" x14ac:dyDescent="0.25">
      <c r="A382" s="170" t="s">
        <v>367</v>
      </c>
      <c r="B382" s="171"/>
      <c r="C382" s="172"/>
      <c r="D382" s="5">
        <v>1.8</v>
      </c>
      <c r="E382" s="5">
        <v>0.15</v>
      </c>
      <c r="F382" s="5">
        <v>0.4</v>
      </c>
      <c r="G382" s="5"/>
      <c r="H382" s="5"/>
      <c r="I382" s="5"/>
      <c r="J382" s="5">
        <f t="shared" si="21"/>
        <v>0.11</v>
      </c>
    </row>
    <row r="383" spans="1:10" ht="16.5" customHeight="1" x14ac:dyDescent="0.25">
      <c r="A383" s="173"/>
      <c r="B383" s="174"/>
      <c r="C383" s="175"/>
      <c r="D383" s="5">
        <v>2.65</v>
      </c>
      <c r="E383" s="5">
        <v>0.15</v>
      </c>
      <c r="F383" s="5">
        <v>0.4</v>
      </c>
      <c r="G383" s="5"/>
      <c r="H383" s="5"/>
      <c r="I383" s="5"/>
      <c r="J383" s="5">
        <f t="shared" si="21"/>
        <v>0.16</v>
      </c>
    </row>
    <row r="384" spans="1:10" ht="16.5" customHeight="1" x14ac:dyDescent="0.25">
      <c r="A384" s="173"/>
      <c r="B384" s="174"/>
      <c r="C384" s="175"/>
      <c r="D384" s="5">
        <v>3.1</v>
      </c>
      <c r="E384" s="5">
        <v>0.15</v>
      </c>
      <c r="F384" s="5">
        <v>0.4</v>
      </c>
      <c r="G384" s="5"/>
      <c r="H384" s="5"/>
      <c r="I384" s="5"/>
      <c r="J384" s="5">
        <f t="shared" si="21"/>
        <v>0.19</v>
      </c>
    </row>
    <row r="385" spans="1:10" ht="16.5" customHeight="1" x14ac:dyDescent="0.25">
      <c r="A385" s="173"/>
      <c r="B385" s="174"/>
      <c r="C385" s="175"/>
      <c r="D385" s="5">
        <v>3.6</v>
      </c>
      <c r="E385" s="5">
        <v>0.15</v>
      </c>
      <c r="F385" s="5">
        <v>0.4</v>
      </c>
      <c r="G385" s="5"/>
      <c r="H385" s="5"/>
      <c r="I385" s="5"/>
      <c r="J385" s="5">
        <f t="shared" si="21"/>
        <v>0.22</v>
      </c>
    </row>
    <row r="386" spans="1:10" ht="16.5" customHeight="1" x14ac:dyDescent="0.25">
      <c r="A386" s="173"/>
      <c r="B386" s="174"/>
      <c r="C386" s="175"/>
      <c r="D386" s="5">
        <v>4.0999999999999996</v>
      </c>
      <c r="E386" s="5">
        <v>0.15</v>
      </c>
      <c r="F386" s="5">
        <v>0.4</v>
      </c>
      <c r="G386" s="5"/>
      <c r="H386" s="5"/>
      <c r="I386" s="5"/>
      <c r="J386" s="5">
        <f t="shared" si="21"/>
        <v>0.25</v>
      </c>
    </row>
    <row r="387" spans="1:10" ht="16.5" customHeight="1" x14ac:dyDescent="0.25">
      <c r="A387" s="173"/>
      <c r="B387" s="174"/>
      <c r="C387" s="175"/>
      <c r="D387" s="5">
        <v>4.5999999999999996</v>
      </c>
      <c r="E387" s="5">
        <v>0.15</v>
      </c>
      <c r="F387" s="5">
        <v>0.4</v>
      </c>
      <c r="G387" s="5"/>
      <c r="H387" s="5"/>
      <c r="I387" s="5"/>
      <c r="J387" s="5">
        <f t="shared" si="21"/>
        <v>0.28000000000000003</v>
      </c>
    </row>
    <row r="388" spans="1:10" ht="16.5" customHeight="1" x14ac:dyDescent="0.25">
      <c r="A388" s="173"/>
      <c r="B388" s="174"/>
      <c r="C388" s="175"/>
      <c r="D388" s="5">
        <v>5.0999999999999996</v>
      </c>
      <c r="E388" s="5">
        <v>0.15</v>
      </c>
      <c r="F388" s="5">
        <v>0.4</v>
      </c>
      <c r="G388" s="5"/>
      <c r="H388" s="5"/>
      <c r="I388" s="5"/>
      <c r="J388" s="5">
        <f t="shared" si="21"/>
        <v>0.31</v>
      </c>
    </row>
    <row r="389" spans="1:10" ht="16.5" customHeight="1" x14ac:dyDescent="0.25">
      <c r="A389" s="176"/>
      <c r="B389" s="177"/>
      <c r="C389" s="178"/>
      <c r="D389" s="5">
        <v>5.6</v>
      </c>
      <c r="E389" s="5">
        <v>0.15</v>
      </c>
      <c r="F389" s="5">
        <v>0.4</v>
      </c>
      <c r="G389" s="5"/>
      <c r="H389" s="5"/>
      <c r="I389" s="5"/>
      <c r="J389" s="5">
        <f t="shared" si="21"/>
        <v>0.34</v>
      </c>
    </row>
    <row r="390" spans="1:10" ht="16.5" customHeight="1" x14ac:dyDescent="0.25">
      <c r="A390" s="169" t="str">
        <f>"TOTAL - "&amp;'Plan. Orçamentária'!F63</f>
        <v>TOTAL - M3</v>
      </c>
      <c r="B390" s="169"/>
      <c r="C390" s="169"/>
      <c r="D390" s="169"/>
      <c r="E390" s="169"/>
      <c r="F390" s="169"/>
      <c r="G390" s="169"/>
      <c r="H390" s="169"/>
      <c r="I390" s="169"/>
      <c r="J390" s="40">
        <f>SUM(J378:J389)</f>
        <v>4.97</v>
      </c>
    </row>
    <row r="391" spans="1:10" ht="16.5" customHeight="1" x14ac:dyDescent="0.25">
      <c r="A391" s="16" t="str">
        <f>'Plan. Orçamentária'!A64</f>
        <v>7.8</v>
      </c>
      <c r="B391" s="166" t="str">
        <f>'Plan. Orçamentária'!D64</f>
        <v>Cinta armada em concreto 20 MPa, inclusive lastro 5 cm em concreto magro 9 MPa, formas laterais e desforma</v>
      </c>
      <c r="C391" s="166"/>
      <c r="D391" s="166"/>
      <c r="E391" s="166"/>
      <c r="F391" s="166"/>
      <c r="G391" s="166"/>
      <c r="H391" s="166"/>
      <c r="I391" s="166"/>
      <c r="J391" s="166"/>
    </row>
    <row r="392" spans="1:10" ht="16.5" customHeight="1" x14ac:dyDescent="0.25">
      <c r="A392" s="167" t="s">
        <v>12</v>
      </c>
      <c r="B392" s="167"/>
      <c r="C392" s="167"/>
      <c r="D392" s="132" t="s">
        <v>13</v>
      </c>
      <c r="E392" s="132" t="s">
        <v>14</v>
      </c>
      <c r="F392" s="132" t="s">
        <v>15</v>
      </c>
      <c r="G392" s="132" t="s">
        <v>16</v>
      </c>
      <c r="H392" s="132" t="s">
        <v>18</v>
      </c>
      <c r="I392" s="132" t="s">
        <v>27</v>
      </c>
      <c r="J392" s="132" t="s">
        <v>19</v>
      </c>
    </row>
    <row r="393" spans="1:10" ht="17.25" customHeight="1" x14ac:dyDescent="0.25">
      <c r="A393" s="170" t="s">
        <v>365</v>
      </c>
      <c r="B393" s="171"/>
      <c r="C393" s="172"/>
      <c r="D393" s="5">
        <v>11.6</v>
      </c>
      <c r="E393" s="5">
        <v>0.15</v>
      </c>
      <c r="F393" s="5">
        <v>0.3</v>
      </c>
      <c r="G393" s="5">
        <v>2</v>
      </c>
      <c r="H393" s="5"/>
      <c r="I393" s="5"/>
      <c r="J393" s="5">
        <f>PRODUCT(D393:I393)</f>
        <v>1.04</v>
      </c>
    </row>
    <row r="394" spans="1:10" ht="17.25" customHeight="1" x14ac:dyDescent="0.25">
      <c r="A394" s="170" t="s">
        <v>366</v>
      </c>
      <c r="B394" s="171"/>
      <c r="C394" s="172"/>
      <c r="D394" s="5">
        <v>6.6</v>
      </c>
      <c r="E394" s="5">
        <v>0.15</v>
      </c>
      <c r="F394" s="5">
        <v>0.3</v>
      </c>
      <c r="G394" s="5"/>
      <c r="H394" s="5"/>
      <c r="I394" s="5"/>
      <c r="J394" s="5">
        <f t="shared" ref="J394:J397" si="22">PRODUCT(D394:I394)</f>
        <v>0.3</v>
      </c>
    </row>
    <row r="395" spans="1:10" ht="17.25" customHeight="1" x14ac:dyDescent="0.25">
      <c r="A395" s="176"/>
      <c r="B395" s="177"/>
      <c r="C395" s="178"/>
      <c r="D395" s="5">
        <v>7</v>
      </c>
      <c r="E395" s="5">
        <v>0.15</v>
      </c>
      <c r="F395" s="5">
        <v>0.3</v>
      </c>
      <c r="G395" s="5"/>
      <c r="H395" s="5"/>
      <c r="I395" s="5"/>
      <c r="J395" s="5">
        <f t="shared" si="22"/>
        <v>0.32</v>
      </c>
    </row>
    <row r="396" spans="1:10" ht="16.5" customHeight="1" x14ac:dyDescent="0.25">
      <c r="A396" s="170" t="s">
        <v>367</v>
      </c>
      <c r="B396" s="171"/>
      <c r="C396" s="172"/>
      <c r="D396" s="5">
        <v>23</v>
      </c>
      <c r="E396" s="5">
        <v>0.15</v>
      </c>
      <c r="F396" s="5">
        <v>0.3</v>
      </c>
      <c r="G396" s="5"/>
      <c r="H396" s="5"/>
      <c r="I396" s="5"/>
      <c r="J396" s="5">
        <f t="shared" si="22"/>
        <v>1.04</v>
      </c>
    </row>
    <row r="397" spans="1:10" ht="16.5" customHeight="1" x14ac:dyDescent="0.25">
      <c r="A397" s="176"/>
      <c r="B397" s="177"/>
      <c r="C397" s="178"/>
      <c r="D397" s="5">
        <v>11.9</v>
      </c>
      <c r="E397" s="5">
        <v>0.15</v>
      </c>
      <c r="F397" s="5">
        <v>0.3</v>
      </c>
      <c r="G397" s="5"/>
      <c r="H397" s="5"/>
      <c r="I397" s="5"/>
      <c r="J397" s="5">
        <f t="shared" si="22"/>
        <v>0.54</v>
      </c>
    </row>
    <row r="398" spans="1:10" ht="16.5" customHeight="1" x14ac:dyDescent="0.25">
      <c r="A398" s="169" t="str">
        <f>"TOTAL - "&amp;'Plan. Orçamentária'!F64</f>
        <v>TOTAL - M3</v>
      </c>
      <c r="B398" s="169"/>
      <c r="C398" s="169"/>
      <c r="D398" s="169"/>
      <c r="E398" s="169"/>
      <c r="F398" s="169"/>
      <c r="G398" s="169"/>
      <c r="H398" s="169"/>
      <c r="I398" s="169"/>
      <c r="J398" s="40">
        <f>SUM(J393:J397)</f>
        <v>3.24</v>
      </c>
    </row>
    <row r="399" spans="1:10" ht="25.5" customHeight="1" x14ac:dyDescent="0.25">
      <c r="A399" s="16" t="str">
        <f>'Plan. Orçamentária'!A65</f>
        <v>7.9</v>
      </c>
      <c r="B399" s="166" t="str">
        <f>'Plan. Orçamentária'!D65</f>
        <v>Cerca com mourões de madeira roliça, DN 11cm, espaçamento de 2,5m, altura livre de 1,70m cravados, 0,50m, com 5 fios de arame de aço ovalado 15x17, fornecimento e instalação</v>
      </c>
      <c r="C399" s="166"/>
      <c r="D399" s="166"/>
      <c r="E399" s="166"/>
      <c r="F399" s="166"/>
      <c r="G399" s="166"/>
      <c r="H399" s="166"/>
      <c r="I399" s="166"/>
      <c r="J399" s="166"/>
    </row>
    <row r="400" spans="1:10" ht="16.5" customHeight="1" x14ac:dyDescent="0.25">
      <c r="A400" s="167" t="s">
        <v>12</v>
      </c>
      <c r="B400" s="167"/>
      <c r="C400" s="167"/>
      <c r="D400" s="132" t="s">
        <v>13</v>
      </c>
      <c r="E400" s="132" t="s">
        <v>14</v>
      </c>
      <c r="F400" s="132" t="s">
        <v>15</v>
      </c>
      <c r="G400" s="132" t="s">
        <v>16</v>
      </c>
      <c r="H400" s="132" t="s">
        <v>18</v>
      </c>
      <c r="I400" s="132" t="s">
        <v>27</v>
      </c>
      <c r="J400" s="132" t="s">
        <v>19</v>
      </c>
    </row>
    <row r="401" spans="1:10" ht="16.5" customHeight="1" x14ac:dyDescent="0.25">
      <c r="A401" s="168" t="s">
        <v>365</v>
      </c>
      <c r="B401" s="168"/>
      <c r="C401" s="168"/>
      <c r="D401" s="5">
        <v>12</v>
      </c>
      <c r="E401" s="5"/>
      <c r="F401" s="5"/>
      <c r="G401" s="5"/>
      <c r="H401" s="5"/>
      <c r="I401" s="5"/>
      <c r="J401" s="5">
        <f>PRODUCT(D401:I401)</f>
        <v>12</v>
      </c>
    </row>
    <row r="402" spans="1:10" ht="16.5" customHeight="1" x14ac:dyDescent="0.25">
      <c r="A402" s="168" t="s">
        <v>366</v>
      </c>
      <c r="B402" s="168"/>
      <c r="C402" s="168"/>
      <c r="D402" s="5">
        <v>7.05</v>
      </c>
      <c r="E402" s="5"/>
      <c r="F402" s="5"/>
      <c r="G402" s="5"/>
      <c r="H402" s="5"/>
      <c r="I402" s="5"/>
      <c r="J402" s="5">
        <f t="shared" ref="J402:J403" si="23">PRODUCT(D402:I402)</f>
        <v>7.05</v>
      </c>
    </row>
    <row r="403" spans="1:10" ht="16.5" customHeight="1" x14ac:dyDescent="0.25">
      <c r="A403" s="168" t="s">
        <v>367</v>
      </c>
      <c r="B403" s="168"/>
      <c r="C403" s="168"/>
      <c r="D403" s="5">
        <v>22.7</v>
      </c>
      <c r="E403" s="5"/>
      <c r="F403" s="5"/>
      <c r="G403" s="5"/>
      <c r="H403" s="5"/>
      <c r="I403" s="5"/>
      <c r="J403" s="5">
        <f t="shared" si="23"/>
        <v>22.7</v>
      </c>
    </row>
    <row r="404" spans="1:10" ht="16.5" customHeight="1" x14ac:dyDescent="0.25">
      <c r="A404" s="169" t="str">
        <f>"TOTAL - "&amp;'Plan. Orçamentária'!F65</f>
        <v>TOTAL - M</v>
      </c>
      <c r="B404" s="169"/>
      <c r="C404" s="169"/>
      <c r="D404" s="169"/>
      <c r="E404" s="169"/>
      <c r="F404" s="169"/>
      <c r="G404" s="169"/>
      <c r="H404" s="169"/>
      <c r="I404" s="169"/>
      <c r="J404" s="40">
        <f>SUM(J401:J403)</f>
        <v>41.75</v>
      </c>
    </row>
    <row r="405" spans="1:10" ht="16.5" customHeight="1" x14ac:dyDescent="0.25">
      <c r="A405" s="16" t="str">
        <f>'Plan. Orçamentária'!A66</f>
        <v>7.10</v>
      </c>
      <c r="B405" s="166" t="str">
        <f>'Plan. Orçamentária'!D66</f>
        <v>Portão em tubo galvanizados 2 1/2" com tela fio 12 # 1/2"</v>
      </c>
      <c r="C405" s="166"/>
      <c r="D405" s="166"/>
      <c r="E405" s="166"/>
      <c r="F405" s="166"/>
      <c r="G405" s="166"/>
      <c r="H405" s="166"/>
      <c r="I405" s="166"/>
      <c r="J405" s="166"/>
    </row>
    <row r="406" spans="1:10" ht="16.5" customHeight="1" x14ac:dyDescent="0.25">
      <c r="A406" s="167" t="s">
        <v>12</v>
      </c>
      <c r="B406" s="167"/>
      <c r="C406" s="167"/>
      <c r="D406" s="132" t="s">
        <v>13</v>
      </c>
      <c r="E406" s="132" t="s">
        <v>14</v>
      </c>
      <c r="F406" s="132" t="s">
        <v>15</v>
      </c>
      <c r="G406" s="132" t="s">
        <v>16</v>
      </c>
      <c r="H406" s="132" t="s">
        <v>18</v>
      </c>
      <c r="I406" s="132" t="s">
        <v>27</v>
      </c>
      <c r="J406" s="132" t="s">
        <v>19</v>
      </c>
    </row>
    <row r="407" spans="1:10" ht="16.5" customHeight="1" x14ac:dyDescent="0.25">
      <c r="A407" s="168" t="s">
        <v>394</v>
      </c>
      <c r="B407" s="168"/>
      <c r="C407" s="168"/>
      <c r="D407" s="5"/>
      <c r="E407" s="5">
        <v>1.05</v>
      </c>
      <c r="F407" s="5">
        <v>1.8</v>
      </c>
      <c r="G407" s="5"/>
      <c r="H407" s="5"/>
      <c r="I407" s="5"/>
      <c r="J407" s="5">
        <f>PRODUCT(D407:I407)</f>
        <v>1.89</v>
      </c>
    </row>
    <row r="408" spans="1:10" ht="16.5" customHeight="1" x14ac:dyDescent="0.25">
      <c r="A408" s="169" t="str">
        <f>"TOTAL - "&amp;'Plan. Orçamentária'!F66</f>
        <v>TOTAL - M2</v>
      </c>
      <c r="B408" s="169"/>
      <c r="C408" s="169"/>
      <c r="D408" s="169"/>
      <c r="E408" s="169"/>
      <c r="F408" s="169"/>
      <c r="G408" s="169"/>
      <c r="H408" s="169"/>
      <c r="I408" s="169"/>
      <c r="J408" s="40">
        <f>SUM(J407:J407)</f>
        <v>1.89</v>
      </c>
    </row>
  </sheetData>
  <mergeCells count="414">
    <mergeCell ref="A281:C281"/>
    <mergeCell ref="B344:J344"/>
    <mergeCell ref="A345:C345"/>
    <mergeCell ref="A346:C346"/>
    <mergeCell ref="A347:I347"/>
    <mergeCell ref="A329:C329"/>
    <mergeCell ref="B303:J303"/>
    <mergeCell ref="A304:C304"/>
    <mergeCell ref="A311:I311"/>
    <mergeCell ref="B294:J294"/>
    <mergeCell ref="A295:C295"/>
    <mergeCell ref="A298:I298"/>
    <mergeCell ref="B299:J299"/>
    <mergeCell ref="A300:C300"/>
    <mergeCell ref="A301:C301"/>
    <mergeCell ref="A302:I302"/>
    <mergeCell ref="A322:C322"/>
    <mergeCell ref="B312:J312"/>
    <mergeCell ref="A297:C297"/>
    <mergeCell ref="A308:C308"/>
    <mergeCell ref="A305:C305"/>
    <mergeCell ref="A306:C306"/>
    <mergeCell ref="A309:C309"/>
    <mergeCell ref="A310:C310"/>
    <mergeCell ref="A244:I244"/>
    <mergeCell ref="A257:I257"/>
    <mergeCell ref="A148:C148"/>
    <mergeCell ref="A230:I230"/>
    <mergeCell ref="A164:I164"/>
    <mergeCell ref="J181:J182"/>
    <mergeCell ref="B272:J272"/>
    <mergeCell ref="A149:C149"/>
    <mergeCell ref="A150:C150"/>
    <mergeCell ref="A151:C151"/>
    <mergeCell ref="A152:C152"/>
    <mergeCell ref="A153:C153"/>
    <mergeCell ref="A154:C154"/>
    <mergeCell ref="A155:C155"/>
    <mergeCell ref="A156:C156"/>
    <mergeCell ref="A157:C157"/>
    <mergeCell ref="A158:C158"/>
    <mergeCell ref="A159:C159"/>
    <mergeCell ref="A160:C160"/>
    <mergeCell ref="A161:C161"/>
    <mergeCell ref="A162:C162"/>
    <mergeCell ref="A163:C163"/>
    <mergeCell ref="A167:C167"/>
    <mergeCell ref="A172:C172"/>
    <mergeCell ref="A282:I282"/>
    <mergeCell ref="A270:C270"/>
    <mergeCell ref="B246:J246"/>
    <mergeCell ref="A247:C247"/>
    <mergeCell ref="A248:C248"/>
    <mergeCell ref="A249:I249"/>
    <mergeCell ref="A118:C118"/>
    <mergeCell ref="A166:C166"/>
    <mergeCell ref="A181:C182"/>
    <mergeCell ref="A189:C189"/>
    <mergeCell ref="B165:J165"/>
    <mergeCell ref="A191:C191"/>
    <mergeCell ref="H181:H182"/>
    <mergeCell ref="I181:I182"/>
    <mergeCell ref="A222:C222"/>
    <mergeCell ref="A216:I216"/>
    <mergeCell ref="A179:I179"/>
    <mergeCell ref="B180:J180"/>
    <mergeCell ref="A190:C190"/>
    <mergeCell ref="D181:F181"/>
    <mergeCell ref="G181:G182"/>
    <mergeCell ref="A143:C143"/>
    <mergeCell ref="A239:C239"/>
    <mergeCell ref="A241:C241"/>
    <mergeCell ref="B9:J9"/>
    <mergeCell ref="B14:J14"/>
    <mergeCell ref="A18:I18"/>
    <mergeCell ref="A15:C15"/>
    <mergeCell ref="A16:C16"/>
    <mergeCell ref="A192:C192"/>
    <mergeCell ref="A55:C55"/>
    <mergeCell ref="A61:C61"/>
    <mergeCell ref="B64:J64"/>
    <mergeCell ref="A49:I49"/>
    <mergeCell ref="A69:C69"/>
    <mergeCell ref="A51:C51"/>
    <mergeCell ref="A52:C52"/>
    <mergeCell ref="A114:C114"/>
    <mergeCell ref="A116:C116"/>
    <mergeCell ref="B107:J107"/>
    <mergeCell ref="A108:C108"/>
    <mergeCell ref="A140:I140"/>
    <mergeCell ref="A146:C146"/>
    <mergeCell ref="F10:G12"/>
    <mergeCell ref="H10:J12"/>
    <mergeCell ref="A13:C13"/>
    <mergeCell ref="H13:J13"/>
    <mergeCell ref="B24:J24"/>
    <mergeCell ref="A1:J3"/>
    <mergeCell ref="A4:J4"/>
    <mergeCell ref="A5:J5"/>
    <mergeCell ref="A6:A7"/>
    <mergeCell ref="B6:G7"/>
    <mergeCell ref="H6:H7"/>
    <mergeCell ref="I6:I7"/>
    <mergeCell ref="J6:J7"/>
    <mergeCell ref="A8:J8"/>
    <mergeCell ref="A22:C22"/>
    <mergeCell ref="A23:I23"/>
    <mergeCell ref="B19:J19"/>
    <mergeCell ref="B20:J20"/>
    <mergeCell ref="A342:I342"/>
    <mergeCell ref="A25:C25"/>
    <mergeCell ref="A26:C26"/>
    <mergeCell ref="A269:C269"/>
    <mergeCell ref="A271:I271"/>
    <mergeCell ref="A31:I31"/>
    <mergeCell ref="B41:J41"/>
    <mergeCell ref="B58:J58"/>
    <mergeCell ref="B72:J72"/>
    <mergeCell ref="B245:J245"/>
    <mergeCell ref="B42:J42"/>
    <mergeCell ref="B46:J46"/>
    <mergeCell ref="B50:J50"/>
    <mergeCell ref="B54:J54"/>
    <mergeCell ref="A67:C67"/>
    <mergeCell ref="A66:C66"/>
    <mergeCell ref="A27:I27"/>
    <mergeCell ref="B28:J28"/>
    <mergeCell ref="A29:C29"/>
    <mergeCell ref="A30:C30"/>
    <mergeCell ref="A53:I53"/>
    <mergeCell ref="A56:C56"/>
    <mergeCell ref="A57:I57"/>
    <mergeCell ref="B327:J327"/>
    <mergeCell ref="A10:C12"/>
    <mergeCell ref="D10:E12"/>
    <mergeCell ref="A43:C43"/>
    <mergeCell ref="A44:C44"/>
    <mergeCell ref="A45:I45"/>
    <mergeCell ref="A47:C47"/>
    <mergeCell ref="A48:C48"/>
    <mergeCell ref="A76:C76"/>
    <mergeCell ref="A106:I106"/>
    <mergeCell ref="A74:C74"/>
    <mergeCell ref="A80:C80"/>
    <mergeCell ref="A81:C81"/>
    <mergeCell ref="A82:C82"/>
    <mergeCell ref="A83:C83"/>
    <mergeCell ref="A84:C84"/>
    <mergeCell ref="A60:C60"/>
    <mergeCell ref="A63:I63"/>
    <mergeCell ref="B59:J59"/>
    <mergeCell ref="A65:C65"/>
    <mergeCell ref="A68:C68"/>
    <mergeCell ref="B32:J32"/>
    <mergeCell ref="A33:C33"/>
    <mergeCell ref="A34:C34"/>
    <mergeCell ref="A35:I35"/>
    <mergeCell ref="A320:C320"/>
    <mergeCell ref="A112:C112"/>
    <mergeCell ref="A113:C113"/>
    <mergeCell ref="A168:C168"/>
    <mergeCell ref="A169:C169"/>
    <mergeCell ref="A170:C170"/>
    <mergeCell ref="A171:C171"/>
    <mergeCell ref="A117:C117"/>
    <mergeCell ref="A147:C147"/>
    <mergeCell ref="A142:C142"/>
    <mergeCell ref="A145:C145"/>
    <mergeCell ref="B141:J141"/>
    <mergeCell ref="A313:C313"/>
    <mergeCell ref="B283:J283"/>
    <mergeCell ref="B250:J250"/>
    <mergeCell ref="A264:C264"/>
    <mergeCell ref="B287:J287"/>
    <mergeCell ref="A288:C288"/>
    <mergeCell ref="A115:C115"/>
    <mergeCell ref="A251:C251"/>
    <mergeCell ref="A17:C17"/>
    <mergeCell ref="A77:C77"/>
    <mergeCell ref="A78:C78"/>
    <mergeCell ref="A79:C79"/>
    <mergeCell ref="B231:J231"/>
    <mergeCell ref="A232:C232"/>
    <mergeCell ref="A234:C234"/>
    <mergeCell ref="A188:C188"/>
    <mergeCell ref="A184:C184"/>
    <mergeCell ref="A185:C185"/>
    <mergeCell ref="A186:C186"/>
    <mergeCell ref="A187:C187"/>
    <mergeCell ref="B217:J217"/>
    <mergeCell ref="A218:C218"/>
    <mergeCell ref="A220:C220"/>
    <mergeCell ref="A221:C221"/>
    <mergeCell ref="A62:C62"/>
    <mergeCell ref="A75:C75"/>
    <mergeCell ref="A85:C85"/>
    <mergeCell ref="A86:C86"/>
    <mergeCell ref="A87:C87"/>
    <mergeCell ref="A88:C88"/>
    <mergeCell ref="A89:C89"/>
    <mergeCell ref="A90:C90"/>
    <mergeCell ref="D13:E13"/>
    <mergeCell ref="F13:G13"/>
    <mergeCell ref="A319:C319"/>
    <mergeCell ref="A21:C21"/>
    <mergeCell ref="A111:C111"/>
    <mergeCell ref="B36:J36"/>
    <mergeCell ref="A37:C37"/>
    <mergeCell ref="A38:C38"/>
    <mergeCell ref="A40:I40"/>
    <mergeCell ref="A39:C39"/>
    <mergeCell ref="A71:I71"/>
    <mergeCell ref="A70:C70"/>
    <mergeCell ref="B73:J73"/>
    <mergeCell ref="B238:J238"/>
    <mergeCell ref="A110:C110"/>
    <mergeCell ref="A266:I266"/>
    <mergeCell ref="A285:C285"/>
    <mergeCell ref="A144:C144"/>
    <mergeCell ref="A237:I237"/>
    <mergeCell ref="A193:E193"/>
    <mergeCell ref="G184:G193"/>
    <mergeCell ref="H184:H193"/>
    <mergeCell ref="I184:I193"/>
    <mergeCell ref="J184:J193"/>
    <mergeCell ref="A100:C100"/>
    <mergeCell ref="A101:C101"/>
    <mergeCell ref="A102:C102"/>
    <mergeCell ref="A103:C103"/>
    <mergeCell ref="A104:C104"/>
    <mergeCell ref="A105:C105"/>
    <mergeCell ref="A91:C91"/>
    <mergeCell ref="A92:C92"/>
    <mergeCell ref="A93:C93"/>
    <mergeCell ref="A94:C94"/>
    <mergeCell ref="A95:C95"/>
    <mergeCell ref="A96:C96"/>
    <mergeCell ref="A97:C97"/>
    <mergeCell ref="A98:C98"/>
    <mergeCell ref="A99:C99"/>
    <mergeCell ref="A109:C109"/>
    <mergeCell ref="A274:C274"/>
    <mergeCell ref="A275:C275"/>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73:C173"/>
    <mergeCell ref="A174:C174"/>
    <mergeCell ref="A175:C175"/>
    <mergeCell ref="A176:C176"/>
    <mergeCell ref="A177:C177"/>
    <mergeCell ref="A178:C178"/>
    <mergeCell ref="A183:C183"/>
    <mergeCell ref="A214:C214"/>
    <mergeCell ref="A194:C194"/>
    <mergeCell ref="A195:C195"/>
    <mergeCell ref="A196:C196"/>
    <mergeCell ref="A202:C202"/>
    <mergeCell ref="A203:C203"/>
    <mergeCell ref="A204:C204"/>
    <mergeCell ref="A205:C205"/>
    <mergeCell ref="A206:C206"/>
    <mergeCell ref="A207:C207"/>
    <mergeCell ref="J195:J215"/>
    <mergeCell ref="A219:C219"/>
    <mergeCell ref="A223:C223"/>
    <mergeCell ref="A224:C224"/>
    <mergeCell ref="A225:C225"/>
    <mergeCell ref="A226:C226"/>
    <mergeCell ref="A227:C227"/>
    <mergeCell ref="A228:C228"/>
    <mergeCell ref="A229:C229"/>
    <mergeCell ref="G195:G215"/>
    <mergeCell ref="H195:H215"/>
    <mergeCell ref="I195:I215"/>
    <mergeCell ref="A197:C197"/>
    <mergeCell ref="A198:C198"/>
    <mergeCell ref="A199:C199"/>
    <mergeCell ref="A200:C200"/>
    <mergeCell ref="A201:C201"/>
    <mergeCell ref="A215:E215"/>
    <mergeCell ref="A208:C208"/>
    <mergeCell ref="A209:C209"/>
    <mergeCell ref="A210:C210"/>
    <mergeCell ref="A211:C211"/>
    <mergeCell ref="A212:C212"/>
    <mergeCell ref="A213:C213"/>
    <mergeCell ref="A289:C289"/>
    <mergeCell ref="A290:C290"/>
    <mergeCell ref="A291:C291"/>
    <mergeCell ref="A296:C296"/>
    <mergeCell ref="A233:C233"/>
    <mergeCell ref="A235:C235"/>
    <mergeCell ref="A236:C236"/>
    <mergeCell ref="A240:C240"/>
    <mergeCell ref="A242:C242"/>
    <mergeCell ref="A243:C243"/>
    <mergeCell ref="A252:C252"/>
    <mergeCell ref="A255:C255"/>
    <mergeCell ref="A256:C256"/>
    <mergeCell ref="B262:J262"/>
    <mergeCell ref="A254:C254"/>
    <mergeCell ref="A292:C292"/>
    <mergeCell ref="A293:I293"/>
    <mergeCell ref="A253:C253"/>
    <mergeCell ref="A263:C263"/>
    <mergeCell ref="A284:C284"/>
    <mergeCell ref="B267:J267"/>
    <mergeCell ref="A268:C268"/>
    <mergeCell ref="A286:I286"/>
    <mergeCell ref="A273:C273"/>
    <mergeCell ref="B258:J258"/>
    <mergeCell ref="A259:C259"/>
    <mergeCell ref="A260:C260"/>
    <mergeCell ref="A261:I261"/>
    <mergeCell ref="A265:C265"/>
    <mergeCell ref="A277:C277"/>
    <mergeCell ref="A278:C278"/>
    <mergeCell ref="A279:C279"/>
    <mergeCell ref="A280:C280"/>
    <mergeCell ref="A276:C276"/>
    <mergeCell ref="A332:C332"/>
    <mergeCell ref="A333:C333"/>
    <mergeCell ref="A337:C337"/>
    <mergeCell ref="A340:C340"/>
    <mergeCell ref="A341:C341"/>
    <mergeCell ref="A307:C307"/>
    <mergeCell ref="A314:C314"/>
    <mergeCell ref="A323:C323"/>
    <mergeCell ref="A324:C324"/>
    <mergeCell ref="A325:C325"/>
    <mergeCell ref="A339:C339"/>
    <mergeCell ref="A330:C330"/>
    <mergeCell ref="A338:C338"/>
    <mergeCell ref="A328:C328"/>
    <mergeCell ref="A334:I334"/>
    <mergeCell ref="B335:J335"/>
    <mergeCell ref="A336:C336"/>
    <mergeCell ref="A326:I326"/>
    <mergeCell ref="A315:C315"/>
    <mergeCell ref="A331:C331"/>
    <mergeCell ref="A316:C316"/>
    <mergeCell ref="A317:C317"/>
    <mergeCell ref="A318:C318"/>
    <mergeCell ref="A321:C321"/>
    <mergeCell ref="B352:J352"/>
    <mergeCell ref="A353:C353"/>
    <mergeCell ref="A354:C354"/>
    <mergeCell ref="A357:I357"/>
    <mergeCell ref="A355:C355"/>
    <mergeCell ref="A356:C356"/>
    <mergeCell ref="B343:J343"/>
    <mergeCell ref="B358:J358"/>
    <mergeCell ref="A359:C359"/>
    <mergeCell ref="A398:I398"/>
    <mergeCell ref="A396:C397"/>
    <mergeCell ref="A393:C393"/>
    <mergeCell ref="B370:J370"/>
    <mergeCell ref="A371:C371"/>
    <mergeCell ref="A360:C360"/>
    <mergeCell ref="A361:C361"/>
    <mergeCell ref="A362:C362"/>
    <mergeCell ref="A363:I363"/>
    <mergeCell ref="A366:C366"/>
    <mergeCell ref="A367:C367"/>
    <mergeCell ref="A368:C368"/>
    <mergeCell ref="A369:I369"/>
    <mergeCell ref="A377:C377"/>
    <mergeCell ref="A378:C378"/>
    <mergeCell ref="A390:I390"/>
    <mergeCell ref="B391:J391"/>
    <mergeCell ref="A392:C392"/>
    <mergeCell ref="B405:J405"/>
    <mergeCell ref="A406:C406"/>
    <mergeCell ref="A407:C407"/>
    <mergeCell ref="A408:I408"/>
    <mergeCell ref="B399:J399"/>
    <mergeCell ref="A400:C400"/>
    <mergeCell ref="A401:C401"/>
    <mergeCell ref="A404:I404"/>
    <mergeCell ref="B348:J348"/>
    <mergeCell ref="A349:C349"/>
    <mergeCell ref="A350:C350"/>
    <mergeCell ref="A351:I351"/>
    <mergeCell ref="A402:C402"/>
    <mergeCell ref="A403:C403"/>
    <mergeCell ref="A372:C372"/>
    <mergeCell ref="A373:C373"/>
    <mergeCell ref="A374:C374"/>
    <mergeCell ref="A375:I375"/>
    <mergeCell ref="B376:J376"/>
    <mergeCell ref="A379:C381"/>
    <mergeCell ref="A394:C395"/>
    <mergeCell ref="A382:C389"/>
    <mergeCell ref="B364:J364"/>
    <mergeCell ref="A365:C365"/>
  </mergeCells>
  <pageMargins left="0.39370078740157483" right="0.39370078740157483" top="0.39370078740157483" bottom="0.78740157480314965" header="0.31496062992125984" footer="0.31496062992125984"/>
  <pageSetup paperSize="9" scale="58" fitToHeight="0" orientation="portrait" verticalDpi="4294967295" r:id="rId1"/>
  <headerFooter>
    <oddFooter>Página &amp;P de &amp;N</oddFooter>
  </headerFooter>
  <rowBreaks count="5" manualBreakCount="5">
    <brk id="71" max="9" man="1"/>
    <brk id="140" max="9" man="1"/>
    <brk id="207" max="9" man="1"/>
    <brk id="271" max="9" man="1"/>
    <brk id="338"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9"/>
  <sheetViews>
    <sheetView view="pageBreakPreview" zoomScaleNormal="100" zoomScaleSheetLayoutView="100" workbookViewId="0">
      <selection activeCell="E65" sqref="E65"/>
    </sheetView>
  </sheetViews>
  <sheetFormatPr defaultRowHeight="16.5" customHeight="1" x14ac:dyDescent="0.25"/>
  <cols>
    <col min="1" max="1" width="13.140625" style="12" customWidth="1"/>
    <col min="2" max="3" width="13.7109375" style="12" customWidth="1"/>
    <col min="4" max="4" width="14.85546875" style="12" customWidth="1"/>
    <col min="5" max="5" width="91.28515625" style="12" customWidth="1"/>
    <col min="6" max="6" width="15" style="12" customWidth="1"/>
    <col min="7" max="7" width="12.28515625" style="12" customWidth="1"/>
    <col min="8" max="8" width="12.140625" style="12" customWidth="1"/>
    <col min="9" max="9" width="13" style="12" customWidth="1"/>
    <col min="10" max="16384" width="9.140625" style="12"/>
  </cols>
  <sheetData>
    <row r="1" spans="1:17" s="9" customFormat="1" ht="16.5" customHeight="1" x14ac:dyDescent="0.2">
      <c r="A1" s="232" t="s">
        <v>25</v>
      </c>
      <c r="B1" s="232"/>
      <c r="C1" s="232"/>
      <c r="D1" s="232"/>
      <c r="E1" s="232"/>
      <c r="F1" s="232"/>
      <c r="G1" s="232"/>
      <c r="H1" s="232"/>
      <c r="I1" s="232"/>
      <c r="Q1" s="9">
        <v>1</v>
      </c>
    </row>
    <row r="2" spans="1:17" s="9" customFormat="1" ht="16.5" customHeight="1" x14ac:dyDescent="0.2">
      <c r="A2" s="232"/>
      <c r="B2" s="232"/>
      <c r="C2" s="232"/>
      <c r="D2" s="232"/>
      <c r="E2" s="232"/>
      <c r="F2" s="232"/>
      <c r="G2" s="232"/>
      <c r="H2" s="232"/>
      <c r="I2" s="232"/>
      <c r="Q2" s="9">
        <v>2</v>
      </c>
    </row>
    <row r="3" spans="1:17" s="9" customFormat="1" ht="16.5" customHeight="1" x14ac:dyDescent="0.2">
      <c r="A3" s="232"/>
      <c r="B3" s="232"/>
      <c r="C3" s="232"/>
      <c r="D3" s="232"/>
      <c r="E3" s="232"/>
      <c r="F3" s="232"/>
      <c r="G3" s="232"/>
      <c r="H3" s="232"/>
      <c r="I3" s="232"/>
      <c r="Q3" s="9">
        <v>3</v>
      </c>
    </row>
    <row r="4" spans="1:17" s="9" customFormat="1" ht="16.5" customHeight="1" x14ac:dyDescent="0.2">
      <c r="A4" s="231" t="str">
        <f>'Plan. Orçamentária'!A4:I4</f>
        <v>OBRA POR EXECUÇÃO INDIRETA</v>
      </c>
      <c r="B4" s="231"/>
      <c r="C4" s="231"/>
      <c r="D4" s="231"/>
      <c r="E4" s="231"/>
      <c r="F4" s="231"/>
      <c r="G4" s="231"/>
      <c r="H4" s="231"/>
      <c r="I4" s="231"/>
      <c r="Q4" s="9">
        <v>4</v>
      </c>
    </row>
    <row r="5" spans="1:17" s="9" customFormat="1" ht="16.5" customHeight="1" x14ac:dyDescent="0.2">
      <c r="A5" s="233" t="str">
        <f>'Plan. Orçamentária'!A5:I5</f>
        <v>Setor requisitante: Secretaria Municipal de Obras e Serviços Urbanos</v>
      </c>
      <c r="B5" s="233"/>
      <c r="C5" s="233"/>
      <c r="D5" s="233"/>
      <c r="E5" s="233"/>
      <c r="F5" s="233"/>
      <c r="G5" s="233"/>
      <c r="H5" s="233"/>
      <c r="I5" s="233"/>
      <c r="Q5" s="9">
        <v>5</v>
      </c>
    </row>
    <row r="6" spans="1:17" s="9" customFormat="1" ht="16.5" customHeight="1" x14ac:dyDescent="0.2">
      <c r="A6" s="233" t="str">
        <f>'Plan. Orçamentária'!A6:B7</f>
        <v>Objeto:</v>
      </c>
      <c r="B6" s="236" t="str">
        <f>'Plan. Orçamentária'!C6</f>
        <v>LOE 01 - Pavimentação de via em piso de concreto pré-moldado intertravado, tipo Sextavado - Rua Nossa Senhora do Rosário e Rua Artur Vidigal, bairro Santa Maria - Nova Era/MG</v>
      </c>
      <c r="C6" s="236"/>
      <c r="D6" s="236"/>
      <c r="E6" s="236"/>
      <c r="F6" s="236"/>
      <c r="G6" s="234" t="str">
        <f>'Plan. Orçamentária'!G6:G7</f>
        <v>BDI:</v>
      </c>
      <c r="H6" s="235">
        <f>'Plan. Orçamentária'!H6:H7</f>
        <v>0.30380000000000001</v>
      </c>
      <c r="I6" s="234">
        <f ca="1">'Plan. Orçamentária'!I6:I7</f>
        <v>44887</v>
      </c>
      <c r="Q6" s="9">
        <v>6</v>
      </c>
    </row>
    <row r="7" spans="1:17" s="9" customFormat="1" ht="16.5" customHeight="1" x14ac:dyDescent="0.2">
      <c r="A7" s="233"/>
      <c r="B7" s="236"/>
      <c r="C7" s="236"/>
      <c r="D7" s="236"/>
      <c r="E7" s="236"/>
      <c r="F7" s="236"/>
      <c r="G7" s="234"/>
      <c r="H7" s="234"/>
      <c r="I7" s="234"/>
      <c r="Q7" s="9">
        <v>7</v>
      </c>
    </row>
    <row r="8" spans="1:17" s="9" customFormat="1" ht="16.5" customHeight="1" x14ac:dyDescent="0.2">
      <c r="A8" s="239" t="s">
        <v>37</v>
      </c>
      <c r="B8" s="240"/>
      <c r="C8" s="240"/>
      <c r="D8" s="240"/>
      <c r="E8" s="240"/>
      <c r="F8" s="240"/>
      <c r="G8" s="240"/>
      <c r="H8" s="240"/>
      <c r="I8" s="240"/>
    </row>
    <row r="9" spans="1:17" ht="25.5" customHeight="1" x14ac:dyDescent="0.25">
      <c r="A9" s="52">
        <v>1</v>
      </c>
      <c r="B9" s="228" t="s">
        <v>195</v>
      </c>
      <c r="C9" s="229"/>
      <c r="D9" s="229"/>
      <c r="E9" s="229"/>
      <c r="F9" s="229"/>
      <c r="G9" s="230"/>
      <c r="H9" s="83" t="s">
        <v>30</v>
      </c>
      <c r="I9" s="34">
        <f>I18</f>
        <v>5853.28</v>
      </c>
    </row>
    <row r="10" spans="1:17" ht="39" customHeight="1" x14ac:dyDescent="0.25">
      <c r="A10" s="83" t="s">
        <v>4</v>
      </c>
      <c r="B10" s="83" t="s">
        <v>131</v>
      </c>
      <c r="C10" s="83" t="s">
        <v>132</v>
      </c>
      <c r="D10" s="83" t="s">
        <v>133</v>
      </c>
      <c r="E10" s="92" t="s">
        <v>196</v>
      </c>
      <c r="F10" s="84" t="s">
        <v>20</v>
      </c>
      <c r="G10" s="84" t="s">
        <v>21</v>
      </c>
      <c r="H10" s="84" t="s">
        <v>134</v>
      </c>
      <c r="I10" s="34" t="s">
        <v>135</v>
      </c>
    </row>
    <row r="11" spans="1:17" ht="35.25" customHeight="1" x14ac:dyDescent="0.25">
      <c r="A11" s="15" t="str">
        <f>"00"&amp;$A$9&amp;"."&amp;Q1</f>
        <v>001.1</v>
      </c>
      <c r="B11" s="30" t="s">
        <v>194</v>
      </c>
      <c r="C11" s="85" t="str">
        <f>"COMP-PMNE-00"&amp;A19</f>
        <v>COMP-PMNE-002</v>
      </c>
      <c r="D11" s="30" t="s">
        <v>194</v>
      </c>
      <c r="E11" s="112" t="s">
        <v>197</v>
      </c>
      <c r="F11" s="15" t="s">
        <v>28</v>
      </c>
      <c r="G11" s="14">
        <f>'Memória de Cálculo - Composição'!I13</f>
        <v>2.0699999999999998</v>
      </c>
      <c r="H11" s="5">
        <f>I29</f>
        <v>220.68</v>
      </c>
      <c r="I11" s="39">
        <f t="shared" ref="I11:I17" si="0">G11*H11</f>
        <v>456.81</v>
      </c>
    </row>
    <row r="12" spans="1:17" ht="35.25" customHeight="1" x14ac:dyDescent="0.25">
      <c r="A12" s="15" t="str">
        <f t="shared" ref="A12:A17" si="1">"00"&amp;$A$9&amp;"."&amp;Q2</f>
        <v>001.2</v>
      </c>
      <c r="B12" s="30" t="s">
        <v>194</v>
      </c>
      <c r="C12" s="85">
        <v>92803</v>
      </c>
      <c r="D12" s="30" t="s">
        <v>192</v>
      </c>
      <c r="E12" s="112" t="s">
        <v>198</v>
      </c>
      <c r="F12" s="15" t="s">
        <v>32</v>
      </c>
      <c r="G12" s="14">
        <f>'Memória de Cálculo - Composição'!I18</f>
        <v>49.76</v>
      </c>
      <c r="H12" s="5">
        <v>11.72</v>
      </c>
      <c r="I12" s="39">
        <f t="shared" si="0"/>
        <v>583.19000000000005</v>
      </c>
    </row>
    <row r="13" spans="1:17" ht="35.25" customHeight="1" x14ac:dyDescent="0.25">
      <c r="A13" s="15" t="str">
        <f t="shared" si="1"/>
        <v>001.3</v>
      </c>
      <c r="B13" s="30" t="s">
        <v>194</v>
      </c>
      <c r="C13" s="85">
        <v>99252</v>
      </c>
      <c r="D13" s="30" t="s">
        <v>192</v>
      </c>
      <c r="E13" s="112" t="s">
        <v>199</v>
      </c>
      <c r="F13" s="15" t="s">
        <v>30</v>
      </c>
      <c r="G13" s="14">
        <v>1</v>
      </c>
      <c r="H13" s="5">
        <v>2340.17</v>
      </c>
      <c r="I13" s="39">
        <f t="shared" si="0"/>
        <v>2340.17</v>
      </c>
    </row>
    <row r="14" spans="1:17" ht="35.25" customHeight="1" x14ac:dyDescent="0.25">
      <c r="A14" s="15" t="str">
        <f t="shared" si="1"/>
        <v>001.4</v>
      </c>
      <c r="B14" s="30" t="s">
        <v>194</v>
      </c>
      <c r="C14" s="85" t="s">
        <v>227</v>
      </c>
      <c r="D14" s="30" t="s">
        <v>174</v>
      </c>
      <c r="E14" s="112" t="s">
        <v>200</v>
      </c>
      <c r="F14" s="15" t="s">
        <v>29</v>
      </c>
      <c r="G14" s="14">
        <f>'Memória de Cálculo - Composição'!I22</f>
        <v>2.0699999999999998</v>
      </c>
      <c r="H14" s="5">
        <v>682.74</v>
      </c>
      <c r="I14" s="39">
        <f t="shared" si="0"/>
        <v>1413.27</v>
      </c>
    </row>
    <row r="15" spans="1:17" ht="35.25" customHeight="1" x14ac:dyDescent="0.25">
      <c r="A15" s="15" t="str">
        <f t="shared" si="1"/>
        <v>001.5</v>
      </c>
      <c r="B15" s="30" t="s">
        <v>194</v>
      </c>
      <c r="C15" s="85">
        <v>92803</v>
      </c>
      <c r="D15" s="30" t="s">
        <v>192</v>
      </c>
      <c r="E15" s="112" t="s">
        <v>201</v>
      </c>
      <c r="F15" s="15" t="s">
        <v>32</v>
      </c>
      <c r="G15" s="14">
        <f>'Memória de Cálculo - Composição'!I27</f>
        <v>49.76</v>
      </c>
      <c r="H15" s="5">
        <v>11.72</v>
      </c>
      <c r="I15" s="39">
        <f t="shared" si="0"/>
        <v>583.19000000000005</v>
      </c>
    </row>
    <row r="16" spans="1:17" ht="36.75" customHeight="1" x14ac:dyDescent="0.25">
      <c r="A16" s="15" t="str">
        <f t="shared" si="1"/>
        <v>001.6</v>
      </c>
      <c r="B16" s="30" t="s">
        <v>194</v>
      </c>
      <c r="C16" s="85">
        <v>87299</v>
      </c>
      <c r="D16" s="30" t="s">
        <v>192</v>
      </c>
      <c r="E16" s="112" t="s">
        <v>202</v>
      </c>
      <c r="F16" s="15" t="s">
        <v>28</v>
      </c>
      <c r="G16" s="14">
        <f>'Memória de Cálculo - Composição'!I31</f>
        <v>0.28000000000000003</v>
      </c>
      <c r="H16" s="5">
        <v>429.9</v>
      </c>
      <c r="I16" s="39">
        <f t="shared" si="0"/>
        <v>120.37</v>
      </c>
    </row>
    <row r="17" spans="1:17" ht="28.5" customHeight="1" x14ac:dyDescent="0.25">
      <c r="A17" s="15" t="str">
        <f t="shared" si="1"/>
        <v>001.7</v>
      </c>
      <c r="B17" s="30" t="s">
        <v>194</v>
      </c>
      <c r="C17" s="85">
        <v>100066</v>
      </c>
      <c r="D17" s="30" t="s">
        <v>192</v>
      </c>
      <c r="E17" s="112" t="s">
        <v>203</v>
      </c>
      <c r="F17" s="15" t="s">
        <v>32</v>
      </c>
      <c r="G17" s="14">
        <f>'Memória de Cálculo - Composição'!I35</f>
        <v>24.88</v>
      </c>
      <c r="H17" s="5">
        <v>14.32</v>
      </c>
      <c r="I17" s="39">
        <f t="shared" si="0"/>
        <v>356.28</v>
      </c>
    </row>
    <row r="18" spans="1:17" ht="16.5" customHeight="1" x14ac:dyDescent="0.25">
      <c r="A18" s="193" t="str">
        <f>"TOTAL - "&amp;G9</f>
        <v xml:space="preserve">TOTAL - </v>
      </c>
      <c r="B18" s="194"/>
      <c r="C18" s="194"/>
      <c r="D18" s="194"/>
      <c r="E18" s="194"/>
      <c r="F18" s="194"/>
      <c r="G18" s="194"/>
      <c r="H18" s="195"/>
      <c r="I18" s="40">
        <f>SUM(I11:I17)</f>
        <v>5853.28</v>
      </c>
    </row>
    <row r="19" spans="1:17" s="93" customFormat="1" ht="25.5" customHeight="1" x14ac:dyDescent="0.2">
      <c r="A19" s="52">
        <v>2</v>
      </c>
      <c r="B19" s="228" t="s">
        <v>197</v>
      </c>
      <c r="C19" s="229"/>
      <c r="D19" s="229"/>
      <c r="E19" s="229"/>
      <c r="F19" s="229"/>
      <c r="G19" s="230"/>
      <c r="H19" s="83" t="s">
        <v>28</v>
      </c>
      <c r="I19" s="34">
        <f>I29</f>
        <v>220.68</v>
      </c>
      <c r="Q19" s="94"/>
    </row>
    <row r="20" spans="1:17" s="93" customFormat="1" ht="16.5" customHeight="1" x14ac:dyDescent="0.2">
      <c r="A20" s="222" t="s">
        <v>4</v>
      </c>
      <c r="B20" s="222" t="s">
        <v>216</v>
      </c>
      <c r="C20" s="222" t="s">
        <v>217</v>
      </c>
      <c r="D20" s="84"/>
      <c r="E20" s="222" t="s">
        <v>196</v>
      </c>
      <c r="F20" s="222" t="s">
        <v>20</v>
      </c>
      <c r="G20" s="222" t="s">
        <v>21</v>
      </c>
      <c r="H20" s="222" t="s">
        <v>218</v>
      </c>
      <c r="I20" s="237" t="s">
        <v>219</v>
      </c>
      <c r="Q20" s="94"/>
    </row>
    <row r="21" spans="1:17" s="93" customFormat="1" ht="9.75" customHeight="1" x14ac:dyDescent="0.2">
      <c r="A21" s="223"/>
      <c r="B21" s="223"/>
      <c r="C21" s="223"/>
      <c r="D21" s="95"/>
      <c r="E21" s="223"/>
      <c r="F21" s="223"/>
      <c r="G21" s="223"/>
      <c r="H21" s="223"/>
      <c r="I21" s="238"/>
      <c r="Q21" s="94"/>
    </row>
    <row r="22" spans="1:17" s="93" customFormat="1" ht="21.95" customHeight="1" x14ac:dyDescent="0.2">
      <c r="A22" s="15" t="str">
        <f>"00"&amp;$A$19&amp;"."&amp;Q1</f>
        <v>002.1</v>
      </c>
      <c r="B22" s="30" t="s">
        <v>194</v>
      </c>
      <c r="C22" s="85">
        <v>96624</v>
      </c>
      <c r="D22" s="30" t="s">
        <v>192</v>
      </c>
      <c r="E22" s="96" t="s">
        <v>220</v>
      </c>
      <c r="F22" s="15" t="s">
        <v>29</v>
      </c>
      <c r="G22" s="14">
        <v>0.1</v>
      </c>
      <c r="H22" s="5">
        <v>148.16</v>
      </c>
      <c r="I22" s="5">
        <f>G22*H22</f>
        <v>14.82</v>
      </c>
      <c r="Q22" s="94"/>
    </row>
    <row r="23" spans="1:17" s="93" customFormat="1" ht="21.95" customHeight="1" x14ac:dyDescent="0.2">
      <c r="A23" s="15" t="str">
        <f t="shared" ref="A23:A28" si="2">"00"&amp;$A$19&amp;"."&amp;Q2</f>
        <v>002.2</v>
      </c>
      <c r="B23" s="30" t="s">
        <v>194</v>
      </c>
      <c r="C23" s="85">
        <v>97082</v>
      </c>
      <c r="D23" s="30" t="s">
        <v>192</v>
      </c>
      <c r="E23" s="96" t="s">
        <v>221</v>
      </c>
      <c r="F23" s="15" t="s">
        <v>29</v>
      </c>
      <c r="G23" s="14">
        <v>3.5000000000000003E-2</v>
      </c>
      <c r="H23" s="5">
        <v>47.07</v>
      </c>
      <c r="I23" s="5">
        <f t="shared" ref="I23:I28" si="3">G23*H23</f>
        <v>1.65</v>
      </c>
      <c r="Q23" s="94"/>
    </row>
    <row r="24" spans="1:17" s="93" customFormat="1" ht="21.95" customHeight="1" x14ac:dyDescent="0.2">
      <c r="A24" s="15" t="str">
        <f t="shared" si="2"/>
        <v>002.3</v>
      </c>
      <c r="B24" s="30" t="s">
        <v>194</v>
      </c>
      <c r="C24" s="85">
        <v>97083</v>
      </c>
      <c r="D24" s="30" t="s">
        <v>192</v>
      </c>
      <c r="E24" s="96" t="s">
        <v>222</v>
      </c>
      <c r="F24" s="15" t="s">
        <v>28</v>
      </c>
      <c r="G24" s="14">
        <v>1</v>
      </c>
      <c r="H24" s="5">
        <v>2.6</v>
      </c>
      <c r="I24" s="5">
        <f t="shared" si="3"/>
        <v>2.6</v>
      </c>
      <c r="Q24" s="94"/>
    </row>
    <row r="25" spans="1:17" s="93" customFormat="1" ht="21.95" customHeight="1" x14ac:dyDescent="0.2">
      <c r="A25" s="15" t="str">
        <f t="shared" si="2"/>
        <v>002.4</v>
      </c>
      <c r="B25" s="30" t="s">
        <v>194</v>
      </c>
      <c r="C25" s="85">
        <v>97086</v>
      </c>
      <c r="D25" s="30" t="s">
        <v>192</v>
      </c>
      <c r="E25" s="96" t="s">
        <v>223</v>
      </c>
      <c r="F25" s="15" t="s">
        <v>28</v>
      </c>
      <c r="G25" s="14">
        <v>0.06</v>
      </c>
      <c r="H25" s="5">
        <v>127.41</v>
      </c>
      <c r="I25" s="5">
        <f t="shared" si="3"/>
        <v>7.64</v>
      </c>
      <c r="Q25" s="94"/>
    </row>
    <row r="26" spans="1:17" s="93" customFormat="1" ht="21.95" customHeight="1" x14ac:dyDescent="0.2">
      <c r="A26" s="15" t="str">
        <f t="shared" si="2"/>
        <v>002.5</v>
      </c>
      <c r="B26" s="30" t="s">
        <v>194</v>
      </c>
      <c r="C26" s="85">
        <v>97087</v>
      </c>
      <c r="D26" s="30" t="s">
        <v>192</v>
      </c>
      <c r="E26" s="96" t="s">
        <v>224</v>
      </c>
      <c r="F26" s="15" t="s">
        <v>28</v>
      </c>
      <c r="G26" s="14">
        <v>1</v>
      </c>
      <c r="H26" s="5">
        <v>2.62</v>
      </c>
      <c r="I26" s="5">
        <f t="shared" si="3"/>
        <v>2.62</v>
      </c>
      <c r="Q26" s="94"/>
    </row>
    <row r="27" spans="1:17" s="93" customFormat="1" ht="21.95" customHeight="1" x14ac:dyDescent="0.2">
      <c r="A27" s="15" t="str">
        <f t="shared" si="2"/>
        <v>002.6</v>
      </c>
      <c r="B27" s="30" t="s">
        <v>194</v>
      </c>
      <c r="C27" s="85">
        <v>97092</v>
      </c>
      <c r="D27" s="30" t="s">
        <v>192</v>
      </c>
      <c r="E27" s="96" t="s">
        <v>225</v>
      </c>
      <c r="F27" s="15" t="s">
        <v>32</v>
      </c>
      <c r="G27" s="14">
        <v>4.4000000000000004</v>
      </c>
      <c r="H27" s="5">
        <v>20.21</v>
      </c>
      <c r="I27" s="5">
        <f t="shared" si="3"/>
        <v>88.92</v>
      </c>
      <c r="Q27" s="94"/>
    </row>
    <row r="28" spans="1:17" s="93" customFormat="1" ht="25.5" customHeight="1" x14ac:dyDescent="0.2">
      <c r="A28" s="15" t="str">
        <f t="shared" si="2"/>
        <v>002.7</v>
      </c>
      <c r="B28" s="30" t="s">
        <v>194</v>
      </c>
      <c r="C28" s="85">
        <v>97096</v>
      </c>
      <c r="D28" s="30" t="s">
        <v>192</v>
      </c>
      <c r="E28" s="82" t="s">
        <v>226</v>
      </c>
      <c r="F28" s="15" t="s">
        <v>29</v>
      </c>
      <c r="G28" s="14">
        <v>0.15</v>
      </c>
      <c r="H28" s="5">
        <v>682.86</v>
      </c>
      <c r="I28" s="5">
        <f t="shared" si="3"/>
        <v>102.43</v>
      </c>
      <c r="Q28" s="94"/>
    </row>
    <row r="29" spans="1:17" ht="16.5" customHeight="1" x14ac:dyDescent="0.25">
      <c r="A29" s="169" t="str">
        <f>"TOTAL - "&amp;H19</f>
        <v>TOTAL - M2</v>
      </c>
      <c r="B29" s="169"/>
      <c r="C29" s="169"/>
      <c r="D29" s="169"/>
      <c r="E29" s="169"/>
      <c r="F29" s="169"/>
      <c r="G29" s="169"/>
      <c r="H29" s="169"/>
      <c r="I29" s="40">
        <f>SUM(I22:I28)</f>
        <v>220.68</v>
      </c>
      <c r="Q29" s="97"/>
    </row>
    <row r="30" spans="1:17" ht="25.5" customHeight="1" x14ac:dyDescent="0.25">
      <c r="A30" s="52">
        <v>3</v>
      </c>
      <c r="B30" s="228" t="str">
        <f>'[2]Plan. Orçamentária'!D42</f>
        <v>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v>
      </c>
      <c r="C30" s="229"/>
      <c r="D30" s="229"/>
      <c r="E30" s="229"/>
      <c r="F30" s="229"/>
      <c r="G30" s="230"/>
      <c r="H30" s="104" t="s">
        <v>30</v>
      </c>
      <c r="I30" s="34">
        <f>I39</f>
        <v>5634.74</v>
      </c>
    </row>
    <row r="31" spans="1:17" ht="25.5" customHeight="1" x14ac:dyDescent="0.25">
      <c r="A31" s="104" t="s">
        <v>4</v>
      </c>
      <c r="B31" s="104" t="s">
        <v>131</v>
      </c>
      <c r="C31" s="104" t="s">
        <v>132</v>
      </c>
      <c r="D31" s="104" t="s">
        <v>133</v>
      </c>
      <c r="E31" s="105" t="s">
        <v>196</v>
      </c>
      <c r="F31" s="105" t="s">
        <v>20</v>
      </c>
      <c r="G31" s="105" t="s">
        <v>21</v>
      </c>
      <c r="H31" s="105" t="s">
        <v>134</v>
      </c>
      <c r="I31" s="34" t="s">
        <v>135</v>
      </c>
    </row>
    <row r="32" spans="1:17" ht="25.5" customHeight="1" x14ac:dyDescent="0.25">
      <c r="A32" s="15" t="str">
        <f>"00"&amp;$A$30&amp;"."&amp;Q1</f>
        <v>003.1</v>
      </c>
      <c r="B32" s="30" t="s">
        <v>194</v>
      </c>
      <c r="C32" s="85" t="str">
        <f>"COMP-PMNE-00"&amp;A19</f>
        <v>COMP-PMNE-002</v>
      </c>
      <c r="D32" s="30" t="s">
        <v>194</v>
      </c>
      <c r="E32" s="102" t="str">
        <f>B19</f>
        <v>Execução de radier, espessura de 15 cm, Fck = 30 MPa, com uso de formas em madeira serrada inclusive execução de lastro com material granular (pedra britada n.2), escavação manual e compactação mecânica de solo</v>
      </c>
      <c r="F32" s="15" t="str">
        <f>H19</f>
        <v>M2</v>
      </c>
      <c r="G32" s="14">
        <f>'[2]Memória de cálculo - Composição'!I40</f>
        <v>1.96</v>
      </c>
      <c r="H32" s="5">
        <f>I29</f>
        <v>220.68</v>
      </c>
      <c r="I32" s="5">
        <f t="shared" ref="I32:I38" si="4">G32*H32</f>
        <v>432.53</v>
      </c>
    </row>
    <row r="33" spans="1:9" ht="25.5" customHeight="1" x14ac:dyDescent="0.25">
      <c r="A33" s="15" t="str">
        <f t="shared" ref="A33:A38" si="5">"00"&amp;$A$30&amp;"."&amp;Q2</f>
        <v>003.2</v>
      </c>
      <c r="B33" s="30" t="s">
        <v>194</v>
      </c>
      <c r="C33" s="85">
        <v>92803</v>
      </c>
      <c r="D33" s="30" t="s">
        <v>192</v>
      </c>
      <c r="E33" s="102" t="s">
        <v>198</v>
      </c>
      <c r="F33" s="15" t="s">
        <v>32</v>
      </c>
      <c r="G33" s="14">
        <f>'[2]Memória de cálculo - Composição'!I45</f>
        <v>49.76</v>
      </c>
      <c r="H33" s="5">
        <v>11.72</v>
      </c>
      <c r="I33" s="5">
        <f t="shared" si="4"/>
        <v>583.19000000000005</v>
      </c>
    </row>
    <row r="34" spans="1:9" ht="25.5" customHeight="1" x14ac:dyDescent="0.25">
      <c r="A34" s="15" t="str">
        <f t="shared" si="5"/>
        <v>003.3</v>
      </c>
      <c r="B34" s="30" t="s">
        <v>194</v>
      </c>
      <c r="C34" s="85">
        <v>99252</v>
      </c>
      <c r="D34" s="30" t="s">
        <v>192</v>
      </c>
      <c r="E34" s="106" t="s">
        <v>252</v>
      </c>
      <c r="F34" s="15" t="s">
        <v>30</v>
      </c>
      <c r="G34" s="14">
        <v>1</v>
      </c>
      <c r="H34" s="5">
        <v>2340.17</v>
      </c>
      <c r="I34" s="5">
        <f t="shared" si="4"/>
        <v>2340.17</v>
      </c>
    </row>
    <row r="35" spans="1:9" ht="25.5" customHeight="1" x14ac:dyDescent="0.25">
      <c r="A35" s="15" t="str">
        <f t="shared" si="5"/>
        <v>003.4</v>
      </c>
      <c r="B35" s="30" t="s">
        <v>194</v>
      </c>
      <c r="C35" s="85" t="s">
        <v>227</v>
      </c>
      <c r="D35" s="30" t="s">
        <v>174</v>
      </c>
      <c r="E35" s="102" t="s">
        <v>200</v>
      </c>
      <c r="F35" s="15" t="s">
        <v>29</v>
      </c>
      <c r="G35" s="14">
        <f>'[2]Memória de cálculo - Composição'!I49</f>
        <v>1.96</v>
      </c>
      <c r="H35" s="5">
        <v>682.74</v>
      </c>
      <c r="I35" s="5">
        <f t="shared" si="4"/>
        <v>1338.17</v>
      </c>
    </row>
    <row r="36" spans="1:9" ht="25.5" customHeight="1" x14ac:dyDescent="0.25">
      <c r="A36" s="15" t="str">
        <f t="shared" si="5"/>
        <v>003.5</v>
      </c>
      <c r="B36" s="30" t="s">
        <v>194</v>
      </c>
      <c r="C36" s="85">
        <v>92803</v>
      </c>
      <c r="D36" s="30" t="s">
        <v>192</v>
      </c>
      <c r="E36" s="102" t="s">
        <v>253</v>
      </c>
      <c r="F36" s="15" t="s">
        <v>32</v>
      </c>
      <c r="G36" s="14">
        <f>'[2]Memória de cálculo - Composição'!I54</f>
        <v>49.76</v>
      </c>
      <c r="H36" s="5">
        <v>11.72</v>
      </c>
      <c r="I36" s="5">
        <f t="shared" si="4"/>
        <v>583.19000000000005</v>
      </c>
    </row>
    <row r="37" spans="1:9" ht="25.5" customHeight="1" x14ac:dyDescent="0.25">
      <c r="A37" s="15" t="str">
        <f t="shared" si="5"/>
        <v>003.6</v>
      </c>
      <c r="B37" s="30" t="s">
        <v>194</v>
      </c>
      <c r="C37" s="85">
        <v>87299</v>
      </c>
      <c r="D37" s="30" t="s">
        <v>192</v>
      </c>
      <c r="E37" s="102" t="s">
        <v>202</v>
      </c>
      <c r="F37" s="15" t="s">
        <v>29</v>
      </c>
      <c r="G37" s="14">
        <f>'[2]Memória de cálculo - Composição'!I58</f>
        <v>0.21</v>
      </c>
      <c r="H37" s="5">
        <v>429.9</v>
      </c>
      <c r="I37" s="5">
        <f t="shared" si="4"/>
        <v>90.28</v>
      </c>
    </row>
    <row r="38" spans="1:9" ht="25.5" customHeight="1" x14ac:dyDescent="0.25">
      <c r="A38" s="15" t="str">
        <f t="shared" si="5"/>
        <v>003.7</v>
      </c>
      <c r="B38" s="30" t="s">
        <v>194</v>
      </c>
      <c r="C38" s="85">
        <v>100066</v>
      </c>
      <c r="D38" s="30" t="s">
        <v>192</v>
      </c>
      <c r="E38" s="102" t="s">
        <v>203</v>
      </c>
      <c r="F38" s="15" t="s">
        <v>32</v>
      </c>
      <c r="G38" s="14">
        <f>'[2]Memória de cálculo - Composição'!I62</f>
        <v>18.66</v>
      </c>
      <c r="H38" s="5">
        <v>14.32</v>
      </c>
      <c r="I38" s="5">
        <f t="shared" si="4"/>
        <v>267.20999999999998</v>
      </c>
    </row>
    <row r="39" spans="1:9" ht="16.5" customHeight="1" x14ac:dyDescent="0.25">
      <c r="A39" s="169" t="str">
        <f>"TOTAL - "&amp;H30</f>
        <v>TOTAL - UN</v>
      </c>
      <c r="B39" s="169"/>
      <c r="C39" s="169"/>
      <c r="D39" s="169"/>
      <c r="E39" s="169"/>
      <c r="F39" s="169"/>
      <c r="G39" s="169"/>
      <c r="H39" s="169"/>
      <c r="I39" s="40">
        <f>SUM(I32:I38)</f>
        <v>5634.74</v>
      </c>
    </row>
    <row r="40" spans="1:9" ht="16.5" customHeight="1" x14ac:dyDescent="0.25">
      <c r="A40" s="136">
        <v>4</v>
      </c>
      <c r="B40" s="166" t="str">
        <f>'Plan. Orçamentária'!D57</f>
        <v>Mureta de bloco de concreto, esp. 15cm, h= 105cm, a revestir</v>
      </c>
      <c r="C40" s="166"/>
      <c r="D40" s="166"/>
      <c r="E40" s="166"/>
      <c r="F40" s="166"/>
      <c r="G40" s="166"/>
      <c r="H40" s="126" t="s">
        <v>31</v>
      </c>
      <c r="I40" s="138">
        <f>I53</f>
        <v>292.43</v>
      </c>
    </row>
    <row r="41" spans="1:9" ht="18" customHeight="1" x14ac:dyDescent="0.25">
      <c r="A41" s="167" t="s">
        <v>4</v>
      </c>
      <c r="B41" s="167" t="s">
        <v>216</v>
      </c>
      <c r="C41" s="167" t="s">
        <v>217</v>
      </c>
      <c r="D41" s="222" t="s">
        <v>133</v>
      </c>
      <c r="E41" s="167" t="s">
        <v>196</v>
      </c>
      <c r="F41" s="167" t="s">
        <v>20</v>
      </c>
      <c r="G41" s="167" t="s">
        <v>21</v>
      </c>
      <c r="H41" s="167" t="s">
        <v>218</v>
      </c>
      <c r="I41" s="225" t="s">
        <v>219</v>
      </c>
    </row>
    <row r="42" spans="1:9" ht="12.75" customHeight="1" x14ac:dyDescent="0.25">
      <c r="A42" s="167"/>
      <c r="B42" s="167"/>
      <c r="C42" s="227"/>
      <c r="D42" s="223"/>
      <c r="E42" s="167"/>
      <c r="F42" s="167"/>
      <c r="G42" s="167"/>
      <c r="H42" s="167"/>
      <c r="I42" s="225"/>
    </row>
    <row r="43" spans="1:9" ht="25.5" customHeight="1" x14ac:dyDescent="0.25">
      <c r="A43" s="15" t="s">
        <v>333</v>
      </c>
      <c r="B43" s="30" t="s">
        <v>194</v>
      </c>
      <c r="C43" s="30" t="s">
        <v>334</v>
      </c>
      <c r="D43" s="30" t="s">
        <v>174</v>
      </c>
      <c r="E43" s="128" t="s">
        <v>335</v>
      </c>
      <c r="F43" s="15" t="s">
        <v>28</v>
      </c>
      <c r="G43" s="14">
        <v>1.05</v>
      </c>
      <c r="H43" s="137">
        <v>47.44</v>
      </c>
      <c r="I43" s="137">
        <f t="shared" ref="I43:I52" si="6">G43*H43</f>
        <v>49.81</v>
      </c>
    </row>
    <row r="44" spans="1:9" ht="25.5" customHeight="1" x14ac:dyDescent="0.25">
      <c r="A44" s="15" t="s">
        <v>336</v>
      </c>
      <c r="B44" s="30" t="s">
        <v>194</v>
      </c>
      <c r="C44" s="85" t="s">
        <v>337</v>
      </c>
      <c r="D44" s="30" t="s">
        <v>174</v>
      </c>
      <c r="E44" s="127" t="s">
        <v>338</v>
      </c>
      <c r="F44" s="15" t="s">
        <v>28</v>
      </c>
      <c r="G44" s="14">
        <v>2.1</v>
      </c>
      <c r="H44" s="137">
        <v>7.54</v>
      </c>
      <c r="I44" s="137">
        <f t="shared" si="6"/>
        <v>15.83</v>
      </c>
    </row>
    <row r="45" spans="1:9" ht="25.5" customHeight="1" x14ac:dyDescent="0.25">
      <c r="A45" s="15" t="s">
        <v>339</v>
      </c>
      <c r="B45" s="30" t="s">
        <v>194</v>
      </c>
      <c r="C45" s="85" t="s">
        <v>340</v>
      </c>
      <c r="D45" s="30" t="s">
        <v>174</v>
      </c>
      <c r="E45" s="128" t="s">
        <v>341</v>
      </c>
      <c r="F45" s="15" t="s">
        <v>32</v>
      </c>
      <c r="G45" s="14">
        <v>5.75</v>
      </c>
      <c r="H45" s="137">
        <v>12.88</v>
      </c>
      <c r="I45" s="137">
        <f t="shared" si="6"/>
        <v>74.06</v>
      </c>
    </row>
    <row r="46" spans="1:9" ht="25.5" customHeight="1" x14ac:dyDescent="0.25">
      <c r="A46" s="15" t="s">
        <v>342</v>
      </c>
      <c r="B46" s="30" t="s">
        <v>194</v>
      </c>
      <c r="C46" s="85" t="s">
        <v>343</v>
      </c>
      <c r="D46" s="30" t="s">
        <v>174</v>
      </c>
      <c r="E46" s="127" t="s">
        <v>344</v>
      </c>
      <c r="F46" s="15" t="s">
        <v>29</v>
      </c>
      <c r="G46" s="14">
        <v>0.11</v>
      </c>
      <c r="H46" s="137">
        <v>55.11</v>
      </c>
      <c r="I46" s="137">
        <f t="shared" si="6"/>
        <v>6.06</v>
      </c>
    </row>
    <row r="47" spans="1:9" ht="25.5" customHeight="1" x14ac:dyDescent="0.25">
      <c r="A47" s="15" t="s">
        <v>345</v>
      </c>
      <c r="B47" s="30" t="s">
        <v>194</v>
      </c>
      <c r="C47" s="85" t="s">
        <v>346</v>
      </c>
      <c r="D47" s="30" t="s">
        <v>174</v>
      </c>
      <c r="E47" s="127" t="s">
        <v>347</v>
      </c>
      <c r="F47" s="15" t="s">
        <v>28</v>
      </c>
      <c r="G47" s="14">
        <v>0.56999999999999995</v>
      </c>
      <c r="H47" s="137">
        <v>57.7</v>
      </c>
      <c r="I47" s="137">
        <f t="shared" si="6"/>
        <v>32.89</v>
      </c>
    </row>
    <row r="48" spans="1:9" ht="25.5" customHeight="1" x14ac:dyDescent="0.25">
      <c r="A48" s="15" t="s">
        <v>348</v>
      </c>
      <c r="B48" s="30" t="s">
        <v>194</v>
      </c>
      <c r="C48" s="85" t="s">
        <v>349</v>
      </c>
      <c r="D48" s="30" t="s">
        <v>174</v>
      </c>
      <c r="E48" s="127" t="s">
        <v>350</v>
      </c>
      <c r="F48" s="15" t="s">
        <v>29</v>
      </c>
      <c r="G48" s="14">
        <v>0.02</v>
      </c>
      <c r="H48" s="137">
        <v>595.13</v>
      </c>
      <c r="I48" s="137">
        <f t="shared" si="6"/>
        <v>11.9</v>
      </c>
    </row>
    <row r="49" spans="1:9" ht="25.5" customHeight="1" x14ac:dyDescent="0.25">
      <c r="A49" s="15" t="s">
        <v>351</v>
      </c>
      <c r="B49" s="30" t="s">
        <v>194</v>
      </c>
      <c r="C49" s="85" t="s">
        <v>352</v>
      </c>
      <c r="D49" s="30" t="s">
        <v>174</v>
      </c>
      <c r="E49" s="127" t="s">
        <v>353</v>
      </c>
      <c r="F49" s="15" t="s">
        <v>29</v>
      </c>
      <c r="G49" s="14">
        <v>1.0999999999999999E-2</v>
      </c>
      <c r="H49" s="137">
        <v>544.13</v>
      </c>
      <c r="I49" s="137">
        <f t="shared" si="6"/>
        <v>5.99</v>
      </c>
    </row>
    <row r="50" spans="1:9" ht="25.5" customHeight="1" x14ac:dyDescent="0.25">
      <c r="A50" s="15" t="s">
        <v>354</v>
      </c>
      <c r="B50" s="30" t="s">
        <v>194</v>
      </c>
      <c r="C50" s="85" t="s">
        <v>355</v>
      </c>
      <c r="D50" s="30" t="s">
        <v>174</v>
      </c>
      <c r="E50" s="127" t="s">
        <v>356</v>
      </c>
      <c r="F50" s="15" t="s">
        <v>33</v>
      </c>
      <c r="G50" s="14">
        <v>0.17</v>
      </c>
      <c r="H50" s="137">
        <v>22.37</v>
      </c>
      <c r="I50" s="137">
        <f t="shared" si="6"/>
        <v>3.8</v>
      </c>
    </row>
    <row r="51" spans="1:9" ht="25.5" customHeight="1" x14ac:dyDescent="0.25">
      <c r="A51" s="15" t="s">
        <v>357</v>
      </c>
      <c r="B51" s="30" t="s">
        <v>194</v>
      </c>
      <c r="C51" s="85" t="s">
        <v>358</v>
      </c>
      <c r="D51" s="30" t="s">
        <v>174</v>
      </c>
      <c r="E51" s="127" t="s">
        <v>359</v>
      </c>
      <c r="F51" s="15" t="s">
        <v>28</v>
      </c>
      <c r="G51" s="14">
        <v>2.1</v>
      </c>
      <c r="H51" s="137">
        <v>42.54</v>
      </c>
      <c r="I51" s="137">
        <f t="shared" si="6"/>
        <v>89.33</v>
      </c>
    </row>
    <row r="52" spans="1:9" ht="25.5" customHeight="1" x14ac:dyDescent="0.25">
      <c r="A52" s="15" t="s">
        <v>360</v>
      </c>
      <c r="B52" s="30" t="s">
        <v>194</v>
      </c>
      <c r="C52" s="85" t="s">
        <v>361</v>
      </c>
      <c r="D52" s="30" t="s">
        <v>174</v>
      </c>
      <c r="E52" s="127" t="s">
        <v>362</v>
      </c>
      <c r="F52" s="15" t="s">
        <v>33</v>
      </c>
      <c r="G52" s="14">
        <v>0.17</v>
      </c>
      <c r="H52" s="137">
        <v>16.21</v>
      </c>
      <c r="I52" s="137">
        <f t="shared" si="6"/>
        <v>2.76</v>
      </c>
    </row>
    <row r="53" spans="1:9" ht="16.5" customHeight="1" x14ac:dyDescent="0.25">
      <c r="A53" s="226" t="str">
        <f>"SUB-TOTAL (Item 00"&amp;A40&amp;"):"</f>
        <v>SUB-TOTAL (Item 004):</v>
      </c>
      <c r="B53" s="226"/>
      <c r="C53" s="226"/>
      <c r="D53" s="226"/>
      <c r="E53" s="226"/>
      <c r="F53" s="226"/>
      <c r="G53" s="226"/>
      <c r="H53" s="226"/>
      <c r="I53" s="3">
        <f>SUM(I43:I52)</f>
        <v>292.43</v>
      </c>
    </row>
    <row r="54" spans="1:9" ht="16.5" customHeight="1" x14ac:dyDescent="0.25">
      <c r="A54" s="136">
        <v>5</v>
      </c>
      <c r="B54" s="166" t="str">
        <f>'Plan. Orçamentária'!D62</f>
        <v>Fornecimento de concreto estrutural, usinado bombeado, com Fck 20 MPa, inclusive corte, dobra e montagem de aço CA-50/60, lançamento, adensamento e acabamento (fundação)</v>
      </c>
      <c r="C54" s="166"/>
      <c r="D54" s="166"/>
      <c r="E54" s="166"/>
      <c r="F54" s="166"/>
      <c r="G54" s="166"/>
      <c r="H54" s="132" t="s">
        <v>29</v>
      </c>
      <c r="I54" s="138">
        <f>I59</f>
        <v>1622.34</v>
      </c>
    </row>
    <row r="55" spans="1:9" ht="18" customHeight="1" x14ac:dyDescent="0.25">
      <c r="A55" s="167" t="s">
        <v>4</v>
      </c>
      <c r="B55" s="167" t="s">
        <v>216</v>
      </c>
      <c r="C55" s="167" t="s">
        <v>217</v>
      </c>
      <c r="D55" s="222" t="s">
        <v>133</v>
      </c>
      <c r="E55" s="167" t="s">
        <v>196</v>
      </c>
      <c r="F55" s="167" t="s">
        <v>20</v>
      </c>
      <c r="G55" s="167" t="s">
        <v>21</v>
      </c>
      <c r="H55" s="167" t="s">
        <v>218</v>
      </c>
      <c r="I55" s="225" t="s">
        <v>219</v>
      </c>
    </row>
    <row r="56" spans="1:9" ht="12.75" customHeight="1" x14ac:dyDescent="0.25">
      <c r="A56" s="167"/>
      <c r="B56" s="167"/>
      <c r="C56" s="227"/>
      <c r="D56" s="223"/>
      <c r="E56" s="167"/>
      <c r="F56" s="167"/>
      <c r="G56" s="167"/>
      <c r="H56" s="167"/>
      <c r="I56" s="225"/>
    </row>
    <row r="57" spans="1:9" ht="25.5" customHeight="1" x14ac:dyDescent="0.25">
      <c r="A57" s="15" t="s">
        <v>378</v>
      </c>
      <c r="B57" s="30" t="s">
        <v>194</v>
      </c>
      <c r="C57" s="85" t="s">
        <v>377</v>
      </c>
      <c r="D57" s="30" t="s">
        <v>174</v>
      </c>
      <c r="E57" s="131" t="s">
        <v>376</v>
      </c>
      <c r="F57" s="15" t="s">
        <v>29</v>
      </c>
      <c r="G57" s="14">
        <v>1</v>
      </c>
      <c r="H57" s="137">
        <v>591.94000000000005</v>
      </c>
      <c r="I57" s="137">
        <f t="shared" ref="I57" si="7">G57*H57</f>
        <v>591.94000000000005</v>
      </c>
    </row>
    <row r="58" spans="1:9" ht="25.5" customHeight="1" x14ac:dyDescent="0.25">
      <c r="A58" s="15" t="s">
        <v>379</v>
      </c>
      <c r="B58" s="30" t="s">
        <v>194</v>
      </c>
      <c r="C58" s="85" t="s">
        <v>340</v>
      </c>
      <c r="D58" s="30" t="s">
        <v>174</v>
      </c>
      <c r="E58" s="134" t="s">
        <v>341</v>
      </c>
      <c r="F58" s="15" t="s">
        <v>32</v>
      </c>
      <c r="G58" s="14">
        <v>80</v>
      </c>
      <c r="H58" s="137">
        <v>12.88</v>
      </c>
      <c r="I58" s="137">
        <f>G58*H58</f>
        <v>1030.4000000000001</v>
      </c>
    </row>
    <row r="59" spans="1:9" ht="16.5" customHeight="1" x14ac:dyDescent="0.25">
      <c r="A59" s="226" t="str">
        <f>"SUB-TOTAL (Item 00"&amp;A54&amp;"):"</f>
        <v>SUB-TOTAL (Item 005):</v>
      </c>
      <c r="B59" s="226"/>
      <c r="C59" s="226"/>
      <c r="D59" s="226"/>
      <c r="E59" s="226"/>
      <c r="F59" s="226"/>
      <c r="G59" s="226"/>
      <c r="H59" s="226"/>
      <c r="I59" s="3">
        <f>SUM(I57:I58)</f>
        <v>1622.34</v>
      </c>
    </row>
  </sheetData>
  <mergeCells count="45">
    <mergeCell ref="H41:H42"/>
    <mergeCell ref="I41:I42"/>
    <mergeCell ref="A53:H53"/>
    <mergeCell ref="B40:G40"/>
    <mergeCell ref="A41:A42"/>
    <mergeCell ref="B41:B42"/>
    <mergeCell ref="C41:C42"/>
    <mergeCell ref="D41:D42"/>
    <mergeCell ref="E41:E42"/>
    <mergeCell ref="F41:F42"/>
    <mergeCell ref="G41:G42"/>
    <mergeCell ref="B19:G19"/>
    <mergeCell ref="A20:A21"/>
    <mergeCell ref="B20:B21"/>
    <mergeCell ref="C20:C21"/>
    <mergeCell ref="E20:E21"/>
    <mergeCell ref="F20:F21"/>
    <mergeCell ref="G20:G21"/>
    <mergeCell ref="B30:G30"/>
    <mergeCell ref="A39:H39"/>
    <mergeCell ref="A4:I4"/>
    <mergeCell ref="A1:I3"/>
    <mergeCell ref="B9:G9"/>
    <mergeCell ref="A6:A7"/>
    <mergeCell ref="A5:I5"/>
    <mergeCell ref="I6:I7"/>
    <mergeCell ref="H6:H7"/>
    <mergeCell ref="B6:F7"/>
    <mergeCell ref="G6:G7"/>
    <mergeCell ref="H20:H21"/>
    <mergeCell ref="I20:I21"/>
    <mergeCell ref="A18:H18"/>
    <mergeCell ref="A29:H29"/>
    <mergeCell ref="A8:I8"/>
    <mergeCell ref="H55:H56"/>
    <mergeCell ref="I55:I56"/>
    <mergeCell ref="A59:H59"/>
    <mergeCell ref="B54:G54"/>
    <mergeCell ref="A55:A56"/>
    <mergeCell ref="B55:B56"/>
    <mergeCell ref="C55:C56"/>
    <mergeCell ref="D55:D56"/>
    <mergeCell ref="E55:E56"/>
    <mergeCell ref="F55:F56"/>
    <mergeCell ref="G55:G56"/>
  </mergeCells>
  <phoneticPr fontId="16" type="noConversion"/>
  <pageMargins left="0.19685039370078741" right="0.19685039370078741" top="0.19685039370078741" bottom="1.1811023622047245" header="0.31496062992125984" footer="0.31496062992125984"/>
  <pageSetup paperSize="9" scale="72" fitToHeight="0" orientation="landscape" verticalDpi="4294967295" r:id="rId1"/>
  <headerFooter>
    <oddFooter>Página &amp;P de &amp;N</oddFooter>
  </headerFooter>
  <rowBreaks count="2" manualBreakCount="2">
    <brk id="29" max="8" man="1"/>
    <brk id="53"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7"/>
  <sheetViews>
    <sheetView view="pageBreakPreview" topLeftCell="A4" zoomScaleNormal="100" zoomScaleSheetLayoutView="100" workbookViewId="0">
      <selection activeCell="A8" sqref="A8:I8"/>
    </sheetView>
  </sheetViews>
  <sheetFormatPr defaultRowHeight="15" x14ac:dyDescent="0.25"/>
  <cols>
    <col min="2" max="2" width="80.5703125" customWidth="1"/>
    <col min="3" max="9" width="18.7109375" customWidth="1"/>
  </cols>
  <sheetData>
    <row r="1" spans="1:9" s="9" customFormat="1" ht="16.5" customHeight="1" x14ac:dyDescent="0.2">
      <c r="A1" s="232" t="s">
        <v>25</v>
      </c>
      <c r="B1" s="232"/>
      <c r="C1" s="232"/>
      <c r="D1" s="232"/>
      <c r="E1" s="232"/>
      <c r="F1" s="232"/>
      <c r="G1" s="232"/>
      <c r="H1" s="232"/>
      <c r="I1" s="232"/>
    </row>
    <row r="2" spans="1:9" s="9" customFormat="1" ht="16.5" customHeight="1" x14ac:dyDescent="0.2">
      <c r="A2" s="232"/>
      <c r="B2" s="232"/>
      <c r="C2" s="232"/>
      <c r="D2" s="232"/>
      <c r="E2" s="232"/>
      <c r="F2" s="232"/>
      <c r="G2" s="232"/>
      <c r="H2" s="232"/>
      <c r="I2" s="232"/>
    </row>
    <row r="3" spans="1:9" s="9" customFormat="1" ht="16.5" customHeight="1" x14ac:dyDescent="0.2">
      <c r="A3" s="232"/>
      <c r="B3" s="232"/>
      <c r="C3" s="232"/>
      <c r="D3" s="232"/>
      <c r="E3" s="232"/>
      <c r="F3" s="232"/>
      <c r="G3" s="232"/>
      <c r="H3" s="232"/>
      <c r="I3" s="232"/>
    </row>
    <row r="4" spans="1:9" s="9" customFormat="1" ht="16.5" customHeight="1" x14ac:dyDescent="0.2">
      <c r="A4" s="231" t="str">
        <f>'[2]Plan. Orçamentária'!A4:I4</f>
        <v>OBRA POR EXECUÇÃO INDIRETA</v>
      </c>
      <c r="B4" s="231"/>
      <c r="C4" s="231"/>
      <c r="D4" s="231"/>
      <c r="E4" s="231"/>
      <c r="F4" s="231"/>
      <c r="G4" s="231"/>
      <c r="H4" s="231"/>
      <c r="I4" s="231"/>
    </row>
    <row r="5" spans="1:9" s="9" customFormat="1" ht="16.5" customHeight="1" x14ac:dyDescent="0.2">
      <c r="A5" s="233" t="str">
        <f>'[2]Plan. Orçamentária'!A5:I5</f>
        <v>Setor requisitante: Secretaria Municipal de Obras e Serviços Urbanos</v>
      </c>
      <c r="B5" s="233"/>
      <c r="C5" s="233"/>
      <c r="D5" s="233"/>
      <c r="E5" s="233"/>
      <c r="F5" s="233"/>
      <c r="G5" s="233"/>
      <c r="H5" s="233"/>
      <c r="I5" s="233"/>
    </row>
    <row r="6" spans="1:9" s="9" customFormat="1" ht="16.5" customHeight="1" x14ac:dyDescent="0.2">
      <c r="A6" s="233" t="str">
        <f>'[2]Plan. Orçamentária'!A6:B7</f>
        <v>Objeto:</v>
      </c>
      <c r="B6" s="236" t="str">
        <f>'Plan. Orçamentária'!C6</f>
        <v>LOE 01 - Pavimentação de via em piso de concreto pré-moldado intertravado, tipo Sextavado - Rua Nossa Senhora do Rosário e Rua Artur Vidigal, bairro Santa Maria - Nova Era/MG</v>
      </c>
      <c r="C6" s="236"/>
      <c r="D6" s="236"/>
      <c r="E6" s="236"/>
      <c r="F6" s="236"/>
      <c r="G6" s="234" t="str">
        <f>'[2]Plan. Orçamentária'!G6:G7</f>
        <v>BDI:</v>
      </c>
      <c r="H6" s="235">
        <f>'[2]Plan. Orçamentária'!H6:H7</f>
        <v>0.30380000000000001</v>
      </c>
      <c r="I6" s="234">
        <f ca="1">TODAY()</f>
        <v>44887</v>
      </c>
    </row>
    <row r="7" spans="1:9" s="9" customFormat="1" ht="16.5" customHeight="1" x14ac:dyDescent="0.2">
      <c r="A7" s="233"/>
      <c r="B7" s="236"/>
      <c r="C7" s="236"/>
      <c r="D7" s="236"/>
      <c r="E7" s="236"/>
      <c r="F7" s="236"/>
      <c r="G7" s="234"/>
      <c r="H7" s="234"/>
      <c r="I7" s="234"/>
    </row>
    <row r="8" spans="1:9" s="9" customFormat="1" ht="16.5" customHeight="1" x14ac:dyDescent="0.2">
      <c r="A8" s="248" t="s">
        <v>37</v>
      </c>
      <c r="B8" s="249"/>
      <c r="C8" s="249"/>
      <c r="D8" s="249"/>
      <c r="E8" s="249"/>
      <c r="F8" s="249"/>
      <c r="G8" s="249"/>
      <c r="H8" s="249"/>
      <c r="I8" s="249"/>
    </row>
    <row r="9" spans="1:9" s="12" customFormat="1" ht="31.5" customHeight="1" x14ac:dyDescent="0.25">
      <c r="A9" s="86" t="str">
        <f>'[2]Plan. Orçamentária'!A41</f>
        <v>5.11</v>
      </c>
      <c r="B9" s="198" t="str">
        <f>'[2]C.P.U.'!B9</f>
        <v>Poço de visita para drenagem pluvial em alvenaria de blocos de concreto, cheios em concreto Fck ≥ 20MPa, dimensões internas de 100X100cm, altura de 150 cm a 300 cm (varíável de acordo com perfil da rede), para rede DN 400mm e DN600mm, com tampa de concreto armado e reboco interno, incluindo escavação e reaterro compactado, conforme projeto</v>
      </c>
      <c r="C9" s="198"/>
      <c r="D9" s="198"/>
      <c r="E9" s="198"/>
      <c r="F9" s="198"/>
      <c r="G9" s="198"/>
      <c r="H9" s="198"/>
      <c r="I9" s="198"/>
    </row>
    <row r="10" spans="1:9" s="12" customFormat="1" ht="16.5" customHeight="1" x14ac:dyDescent="0.25">
      <c r="A10" s="87" t="str">
        <f>'[2]C.P.U.'!A11</f>
        <v>001.1</v>
      </c>
      <c r="B10" s="247" t="str">
        <f>'[2]C.P.U.'!E11</f>
        <v>Execução de radier, espessura de 15 cm, Fck = 30 MPa, com uso de formas em madeira serrada inclusive execução de lastro com material granular (pedra britada n.2), escavação manual e compactação mecânica de solo</v>
      </c>
      <c r="C10" s="247"/>
      <c r="D10" s="247"/>
      <c r="E10" s="247"/>
      <c r="F10" s="247"/>
      <c r="G10" s="247"/>
      <c r="H10" s="247"/>
      <c r="I10" s="247"/>
    </row>
    <row r="11" spans="1:9" s="12" customFormat="1" ht="16.5" customHeight="1" x14ac:dyDescent="0.25">
      <c r="A11" s="180" t="s">
        <v>12</v>
      </c>
      <c r="B11" s="180"/>
      <c r="C11" s="107" t="s">
        <v>13</v>
      </c>
      <c r="D11" s="107" t="s">
        <v>14</v>
      </c>
      <c r="E11" s="107" t="s">
        <v>15</v>
      </c>
      <c r="F11" s="107" t="s">
        <v>120</v>
      </c>
      <c r="G11" s="107" t="s">
        <v>204</v>
      </c>
      <c r="H11" s="107" t="s">
        <v>27</v>
      </c>
      <c r="I11" s="107" t="s">
        <v>19</v>
      </c>
    </row>
    <row r="12" spans="1:9" s="12" customFormat="1" ht="16.5" customHeight="1" x14ac:dyDescent="0.25">
      <c r="A12" s="224" t="s">
        <v>205</v>
      </c>
      <c r="B12" s="224"/>
      <c r="C12" s="88">
        <v>1.44</v>
      </c>
      <c r="D12" s="88">
        <v>1.44</v>
      </c>
      <c r="E12" s="88"/>
      <c r="F12" s="88"/>
      <c r="G12" s="88"/>
      <c r="H12" s="89"/>
      <c r="I12" s="88">
        <f>PRODUCT(C12:H12)</f>
        <v>2.0699999999999998</v>
      </c>
    </row>
    <row r="13" spans="1:9" s="12" customFormat="1" ht="16.5" customHeight="1" x14ac:dyDescent="0.25">
      <c r="A13" s="180" t="str">
        <f>"TOTAL - "&amp;[3]Composição!F21</f>
        <v>TOTAL - M3</v>
      </c>
      <c r="B13" s="180"/>
      <c r="C13" s="180"/>
      <c r="D13" s="180"/>
      <c r="E13" s="180"/>
      <c r="F13" s="180"/>
      <c r="G13" s="180"/>
      <c r="H13" s="180"/>
      <c r="I13" s="90">
        <f>SUM(I12)</f>
        <v>2.0699999999999998</v>
      </c>
    </row>
    <row r="14" spans="1:9" s="12" customFormat="1" ht="16.5" customHeight="1" x14ac:dyDescent="0.25">
      <c r="A14" s="87" t="str">
        <f>'[2]C.P.U.'!A12</f>
        <v>001.2</v>
      </c>
      <c r="B14" s="247" t="str">
        <f>'[2]C.P.U.'!E12</f>
        <v>Corte e dobra de aço CA-50, diâmetro de 10,0 mm (0,617kg/m), utilizado em estrutura diversas (Armadura positiva e negativa em duas direções para radier)</v>
      </c>
      <c r="C14" s="247"/>
      <c r="D14" s="247"/>
      <c r="E14" s="247"/>
      <c r="F14" s="247"/>
      <c r="G14" s="247"/>
      <c r="H14" s="247"/>
      <c r="I14" s="247"/>
    </row>
    <row r="15" spans="1:9" s="12" customFormat="1" ht="16.5" customHeight="1" x14ac:dyDescent="0.25">
      <c r="A15" s="180" t="s">
        <v>12</v>
      </c>
      <c r="B15" s="180"/>
      <c r="C15" s="107" t="s">
        <v>13</v>
      </c>
      <c r="D15" s="107" t="s">
        <v>14</v>
      </c>
      <c r="E15" s="107" t="s">
        <v>15</v>
      </c>
      <c r="F15" s="107" t="s">
        <v>120</v>
      </c>
      <c r="G15" s="107" t="s">
        <v>206</v>
      </c>
      <c r="H15" s="107" t="s">
        <v>207</v>
      </c>
      <c r="I15" s="107" t="s">
        <v>19</v>
      </c>
    </row>
    <row r="16" spans="1:9" s="12" customFormat="1" ht="16.5" customHeight="1" x14ac:dyDescent="0.25">
      <c r="A16" s="224" t="s">
        <v>208</v>
      </c>
      <c r="B16" s="224"/>
      <c r="C16" s="88">
        <v>1.44</v>
      </c>
      <c r="D16" s="88"/>
      <c r="E16" s="88"/>
      <c r="F16" s="88">
        <v>14</v>
      </c>
      <c r="G16" s="88">
        <v>2</v>
      </c>
      <c r="H16" s="91">
        <v>0.61699999999999999</v>
      </c>
      <c r="I16" s="88">
        <f>PRODUCT(C16:H16)</f>
        <v>24.88</v>
      </c>
    </row>
    <row r="17" spans="1:9" s="12" customFormat="1" ht="16.5" customHeight="1" x14ac:dyDescent="0.25">
      <c r="A17" s="224" t="s">
        <v>209</v>
      </c>
      <c r="B17" s="224"/>
      <c r="C17" s="88">
        <v>1.44</v>
      </c>
      <c r="D17" s="88"/>
      <c r="E17" s="88"/>
      <c r="F17" s="88">
        <v>14</v>
      </c>
      <c r="G17" s="88">
        <v>2</v>
      </c>
      <c r="H17" s="91">
        <v>0.61699999999999999</v>
      </c>
      <c r="I17" s="88">
        <f>PRODUCT(C17:H17)</f>
        <v>24.88</v>
      </c>
    </row>
    <row r="18" spans="1:9" s="12" customFormat="1" ht="16.5" customHeight="1" x14ac:dyDescent="0.25">
      <c r="A18" s="180" t="str">
        <f>"TOTAL - "&amp;[3]Composição!F22</f>
        <v>TOTAL - M2</v>
      </c>
      <c r="B18" s="180"/>
      <c r="C18" s="180"/>
      <c r="D18" s="180"/>
      <c r="E18" s="180"/>
      <c r="F18" s="180"/>
      <c r="G18" s="180"/>
      <c r="H18" s="180"/>
      <c r="I18" s="90">
        <f>SUM(I16:I17)</f>
        <v>49.76</v>
      </c>
    </row>
    <row r="19" spans="1:9" s="12" customFormat="1" ht="16.5" customHeight="1" x14ac:dyDescent="0.25">
      <c r="A19" s="87" t="str">
        <f>'[2]C.P.U.'!A14</f>
        <v>001.4</v>
      </c>
      <c r="B19" s="247" t="str">
        <f>'[2]C.P.U.'!E14</f>
        <v>Confecção de tampa em concreto armado, com armadura de ø 10,00 mm em duas direções, para poço de visita, Fck ≥ 35 MPa, inclusive lançamento de concreto, adensamento com vibrador de imersão, acabamento e formas</v>
      </c>
      <c r="C19" s="247"/>
      <c r="D19" s="247"/>
      <c r="E19" s="247"/>
      <c r="F19" s="247"/>
      <c r="G19" s="247"/>
      <c r="H19" s="247"/>
      <c r="I19" s="247"/>
    </row>
    <row r="20" spans="1:9" s="12" customFormat="1" ht="16.5" customHeight="1" x14ac:dyDescent="0.25">
      <c r="A20" s="180" t="s">
        <v>12</v>
      </c>
      <c r="B20" s="180"/>
      <c r="C20" s="107" t="s">
        <v>13</v>
      </c>
      <c r="D20" s="107" t="s">
        <v>14</v>
      </c>
      <c r="E20" s="107" t="s">
        <v>15</v>
      </c>
      <c r="F20" s="107" t="s">
        <v>120</v>
      </c>
      <c r="G20" s="107" t="s">
        <v>204</v>
      </c>
      <c r="H20" s="107" t="s">
        <v>27</v>
      </c>
      <c r="I20" s="107" t="s">
        <v>19</v>
      </c>
    </row>
    <row r="21" spans="1:9" s="12" customFormat="1" ht="16.5" customHeight="1" x14ac:dyDescent="0.25">
      <c r="A21" s="224" t="s">
        <v>210</v>
      </c>
      <c r="B21" s="224"/>
      <c r="C21" s="88">
        <v>1.44</v>
      </c>
      <c r="D21" s="88">
        <v>1.44</v>
      </c>
      <c r="E21" s="88"/>
      <c r="F21" s="88"/>
      <c r="G21" s="88"/>
      <c r="H21" s="89"/>
      <c r="I21" s="88">
        <f>PRODUCT(C21:H21)</f>
        <v>2.0699999999999998</v>
      </c>
    </row>
    <row r="22" spans="1:9" s="12" customFormat="1" ht="16.5" customHeight="1" x14ac:dyDescent="0.25">
      <c r="A22" s="180" t="str">
        <f>"TOTAL - "&amp;[3]Composição!F24</f>
        <v>TOTAL - M2</v>
      </c>
      <c r="B22" s="180"/>
      <c r="C22" s="180"/>
      <c r="D22" s="180"/>
      <c r="E22" s="180"/>
      <c r="F22" s="180"/>
      <c r="G22" s="180"/>
      <c r="H22" s="180"/>
      <c r="I22" s="90">
        <f>SUM(I21)</f>
        <v>2.0699999999999998</v>
      </c>
    </row>
    <row r="23" spans="1:9" s="12" customFormat="1" ht="16.5" customHeight="1" x14ac:dyDescent="0.25">
      <c r="A23" s="87" t="str">
        <f>'[2]C.P.U.'!A15</f>
        <v>001.5</v>
      </c>
      <c r="B23" s="247" t="str">
        <f>'[2]C.P.U.'!E15</f>
        <v>Corte e dobra de aço CA-50, diâmetro de 10,0 mm (0,617kg/m), utilizado em estrutura diversas (Armadura positiva e negativa em duas direções para tampa de concreto</v>
      </c>
      <c r="C23" s="247"/>
      <c r="D23" s="247"/>
      <c r="E23" s="247"/>
      <c r="F23" s="247"/>
      <c r="G23" s="247"/>
      <c r="H23" s="247"/>
      <c r="I23" s="247"/>
    </row>
    <row r="24" spans="1:9" s="12" customFormat="1" ht="16.5" customHeight="1" x14ac:dyDescent="0.25">
      <c r="A24" s="180" t="s">
        <v>12</v>
      </c>
      <c r="B24" s="180"/>
      <c r="C24" s="107" t="s">
        <v>13</v>
      </c>
      <c r="D24" s="107" t="s">
        <v>14</v>
      </c>
      <c r="E24" s="107" t="s">
        <v>15</v>
      </c>
      <c r="F24" s="107" t="s">
        <v>120</v>
      </c>
      <c r="G24" s="107" t="s">
        <v>206</v>
      </c>
      <c r="H24" s="107" t="s">
        <v>211</v>
      </c>
      <c r="I24" s="107" t="s">
        <v>19</v>
      </c>
    </row>
    <row r="25" spans="1:9" s="12" customFormat="1" ht="16.5" customHeight="1" x14ac:dyDescent="0.25">
      <c r="A25" s="224" t="s">
        <v>212</v>
      </c>
      <c r="B25" s="224"/>
      <c r="C25" s="88">
        <v>1.44</v>
      </c>
      <c r="D25" s="88"/>
      <c r="E25" s="88"/>
      <c r="F25" s="88">
        <v>14</v>
      </c>
      <c r="G25" s="88">
        <v>2</v>
      </c>
      <c r="H25" s="91">
        <v>0.61699999999999999</v>
      </c>
      <c r="I25" s="88">
        <f>PRODUCT(C25:H25)</f>
        <v>24.88</v>
      </c>
    </row>
    <row r="26" spans="1:9" s="12" customFormat="1" ht="16.5" customHeight="1" x14ac:dyDescent="0.25">
      <c r="A26" s="224" t="s">
        <v>213</v>
      </c>
      <c r="B26" s="224"/>
      <c r="C26" s="88">
        <v>1.44</v>
      </c>
      <c r="D26" s="88"/>
      <c r="E26" s="88"/>
      <c r="F26" s="88">
        <v>14</v>
      </c>
      <c r="G26" s="88">
        <v>2</v>
      </c>
      <c r="H26" s="91">
        <v>0.61699999999999999</v>
      </c>
      <c r="I26" s="88">
        <f>PRODUCT(C26:H26)</f>
        <v>24.88</v>
      </c>
    </row>
    <row r="27" spans="1:9" s="12" customFormat="1" ht="16.5" customHeight="1" x14ac:dyDescent="0.25">
      <c r="A27" s="180" t="str">
        <f>"TOTAL - "&amp;[3]Composição!F25</f>
        <v>TOTAL - KG</v>
      </c>
      <c r="B27" s="180"/>
      <c r="C27" s="180"/>
      <c r="D27" s="180"/>
      <c r="E27" s="180"/>
      <c r="F27" s="180"/>
      <c r="G27" s="180"/>
      <c r="H27" s="180"/>
      <c r="I27" s="90">
        <f>SUM(I25:I26)</f>
        <v>49.76</v>
      </c>
    </row>
    <row r="28" spans="1:9" s="12" customFormat="1" ht="16.5" customHeight="1" x14ac:dyDescent="0.25">
      <c r="A28" s="87" t="str">
        <f>'[2]C.P.U.'!A16</f>
        <v>001.6</v>
      </c>
      <c r="B28" s="247" t="str">
        <f>'[2]C.P.U.'!E16</f>
        <v>Reboco, em argamassa traço 1:3 (Em volume de cimento e areia média úmida) para paredes internas, preparo mecânico com betoneira 600 L, aplicado manualmente em faces internas de paredes, espessura de 35 mm.</v>
      </c>
      <c r="C28" s="247"/>
      <c r="D28" s="247"/>
      <c r="E28" s="247"/>
      <c r="F28" s="247"/>
      <c r="G28" s="247"/>
      <c r="H28" s="247"/>
      <c r="I28" s="247"/>
    </row>
    <row r="29" spans="1:9" s="12" customFormat="1" ht="16.5" customHeight="1" x14ac:dyDescent="0.25">
      <c r="A29" s="180" t="s">
        <v>12</v>
      </c>
      <c r="B29" s="180"/>
      <c r="C29" s="107" t="s">
        <v>13</v>
      </c>
      <c r="D29" s="107" t="s">
        <v>14</v>
      </c>
      <c r="E29" s="107" t="s">
        <v>15</v>
      </c>
      <c r="F29" s="107" t="s">
        <v>17</v>
      </c>
      <c r="G29" s="107" t="s">
        <v>214</v>
      </c>
      <c r="H29" s="107" t="s">
        <v>27</v>
      </c>
      <c r="I29" s="107" t="s">
        <v>19</v>
      </c>
    </row>
    <row r="30" spans="1:9" s="12" customFormat="1" ht="16.5" customHeight="1" x14ac:dyDescent="0.25">
      <c r="A30" s="224" t="s">
        <v>215</v>
      </c>
      <c r="B30" s="224"/>
      <c r="C30" s="88"/>
      <c r="D30" s="88">
        <v>1</v>
      </c>
      <c r="E30" s="88">
        <v>2</v>
      </c>
      <c r="F30" s="88">
        <v>4</v>
      </c>
      <c r="G30" s="91">
        <v>3.5000000000000003E-2</v>
      </c>
      <c r="H30" s="89"/>
      <c r="I30" s="88">
        <f>PRODUCT(C30:H30)</f>
        <v>0.28000000000000003</v>
      </c>
    </row>
    <row r="31" spans="1:9" s="12" customFormat="1" ht="16.5" customHeight="1" x14ac:dyDescent="0.25">
      <c r="A31" s="180" t="str">
        <f>"TOTAL - "&amp;[3]Composição!F26</f>
        <v>TOTAL - M3</v>
      </c>
      <c r="B31" s="180"/>
      <c r="C31" s="180"/>
      <c r="D31" s="180"/>
      <c r="E31" s="180"/>
      <c r="F31" s="180"/>
      <c r="G31" s="180"/>
      <c r="H31" s="180"/>
      <c r="I31" s="90">
        <f>SUM(I30)</f>
        <v>0.28000000000000003</v>
      </c>
    </row>
    <row r="32" spans="1:9" s="12" customFormat="1" ht="16.5" customHeight="1" x14ac:dyDescent="0.25">
      <c r="A32" s="87" t="str">
        <f>'[2]C.P.U.'!A17</f>
        <v>001.7</v>
      </c>
      <c r="B32" s="247" t="str">
        <f>'[2]C.P.U.'!E17</f>
        <v>Armação do sistema de paredes com uso de tela Q-196 (3,11 kg/m2)</v>
      </c>
      <c r="C32" s="247"/>
      <c r="D32" s="247"/>
      <c r="E32" s="247"/>
      <c r="F32" s="247"/>
      <c r="G32" s="247"/>
      <c r="H32" s="247"/>
      <c r="I32" s="247"/>
    </row>
    <row r="33" spans="1:9" s="12" customFormat="1" ht="16.5" customHeight="1" x14ac:dyDescent="0.25">
      <c r="A33" s="180" t="s">
        <v>12</v>
      </c>
      <c r="B33" s="180"/>
      <c r="C33" s="107" t="s">
        <v>13</v>
      </c>
      <c r="D33" s="107" t="s">
        <v>14</v>
      </c>
      <c r="E33" s="107" t="s">
        <v>15</v>
      </c>
      <c r="F33" s="107" t="s">
        <v>120</v>
      </c>
      <c r="G33" s="107" t="s">
        <v>206</v>
      </c>
      <c r="H33" s="107" t="s">
        <v>207</v>
      </c>
      <c r="I33" s="107" t="s">
        <v>19</v>
      </c>
    </row>
    <row r="34" spans="1:9" s="12" customFormat="1" ht="16.5" customHeight="1" x14ac:dyDescent="0.25">
      <c r="A34" s="224" t="s">
        <v>210</v>
      </c>
      <c r="B34" s="224"/>
      <c r="C34" s="88"/>
      <c r="D34" s="88">
        <v>1</v>
      </c>
      <c r="E34" s="88">
        <v>2</v>
      </c>
      <c r="F34" s="88"/>
      <c r="G34" s="88">
        <v>4</v>
      </c>
      <c r="H34" s="89">
        <v>3.11</v>
      </c>
      <c r="I34" s="88">
        <f>PRODUCT(C34:H34)</f>
        <v>24.88</v>
      </c>
    </row>
    <row r="35" spans="1:9" s="12" customFormat="1" ht="16.5" customHeight="1" x14ac:dyDescent="0.25">
      <c r="A35" s="180" t="str">
        <f>"TOTAL - "&amp;[3]Composição!F27</f>
        <v xml:space="preserve">TOTAL - </v>
      </c>
      <c r="B35" s="180"/>
      <c r="C35" s="180"/>
      <c r="D35" s="180"/>
      <c r="E35" s="180"/>
      <c r="F35" s="180"/>
      <c r="G35" s="180"/>
      <c r="H35" s="180"/>
      <c r="I35" s="90">
        <f>SUM(I34)</f>
        <v>24.88</v>
      </c>
    </row>
    <row r="36" spans="1:9" s="111" customFormat="1" ht="25.5" customHeight="1" x14ac:dyDescent="0.25">
      <c r="A36" s="86">
        <f>'[2]C.P.U.'!A30</f>
        <v>3</v>
      </c>
      <c r="B36" s="228" t="str">
        <f>'[2]C.P.U.'!B30</f>
        <v>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v>
      </c>
      <c r="C36" s="229"/>
      <c r="D36" s="229"/>
      <c r="E36" s="229"/>
      <c r="F36" s="229"/>
      <c r="G36" s="229"/>
      <c r="H36" s="229"/>
      <c r="I36" s="230"/>
    </row>
    <row r="37" spans="1:9" s="111" customFormat="1" ht="25.5" customHeight="1" x14ac:dyDescent="0.25">
      <c r="A37" s="87" t="str">
        <f>'[2]C.P.U.'!A32</f>
        <v>003.1</v>
      </c>
      <c r="B37" s="244" t="str">
        <f>'[2]C.P.U.'!E32</f>
        <v>Execução de radier, espessura de 15 cm, Fck = 30 MPa, com uso de formas em madeira serrada inclusive execução de lastro com material granular (pedra britada n.2), escavação manual e compactação mecânica de solo</v>
      </c>
      <c r="C37" s="245"/>
      <c r="D37" s="245"/>
      <c r="E37" s="245"/>
      <c r="F37" s="245"/>
      <c r="G37" s="245"/>
      <c r="H37" s="245"/>
      <c r="I37" s="246"/>
    </row>
    <row r="38" spans="1:9" s="111" customFormat="1" ht="16.5" customHeight="1" x14ac:dyDescent="0.25">
      <c r="A38" s="241" t="s">
        <v>12</v>
      </c>
      <c r="B38" s="243"/>
      <c r="C38" s="107" t="s">
        <v>13</v>
      </c>
      <c r="D38" s="107" t="s">
        <v>14</v>
      </c>
      <c r="E38" s="107" t="s">
        <v>15</v>
      </c>
      <c r="F38" s="107" t="s">
        <v>120</v>
      </c>
      <c r="G38" s="107" t="s">
        <v>204</v>
      </c>
      <c r="H38" s="107" t="s">
        <v>27</v>
      </c>
      <c r="I38" s="107" t="s">
        <v>19</v>
      </c>
    </row>
    <row r="39" spans="1:9" s="111" customFormat="1" ht="16.5" customHeight="1" x14ac:dyDescent="0.25">
      <c r="A39" s="181" t="s">
        <v>205</v>
      </c>
      <c r="B39" s="183"/>
      <c r="C39" s="88">
        <v>1.4</v>
      </c>
      <c r="D39" s="88">
        <v>1.4</v>
      </c>
      <c r="E39" s="88"/>
      <c r="F39" s="88"/>
      <c r="G39" s="88"/>
      <c r="H39" s="89"/>
      <c r="I39" s="88">
        <f>PRODUCT(C39:H39)</f>
        <v>1.96</v>
      </c>
    </row>
    <row r="40" spans="1:9" s="111" customFormat="1" ht="16.5" customHeight="1" x14ac:dyDescent="0.25">
      <c r="A40" s="241" t="str">
        <f>"TOTAL - "&amp;[3]Composição!F56</f>
        <v>TOTAL - Unidade</v>
      </c>
      <c r="B40" s="242"/>
      <c r="C40" s="242"/>
      <c r="D40" s="242"/>
      <c r="E40" s="242"/>
      <c r="F40" s="242"/>
      <c r="G40" s="242"/>
      <c r="H40" s="243"/>
      <c r="I40" s="90">
        <f>SUM(I39)</f>
        <v>1.96</v>
      </c>
    </row>
    <row r="41" spans="1:9" s="111" customFormat="1" ht="16.5" customHeight="1" x14ac:dyDescent="0.25">
      <c r="A41" s="87" t="str">
        <f>'[2]C.P.U.'!A33</f>
        <v>003.2</v>
      </c>
      <c r="B41" s="244" t="str">
        <f>'[2]C.P.U.'!E33</f>
        <v>Corte e dobra de aço CA-50, diâmetro de 10,0 mm (0,617kg/m), utilizado em estrutura diversas (Armadura positiva e negativa em duas direções para radier)</v>
      </c>
      <c r="C41" s="245"/>
      <c r="D41" s="245"/>
      <c r="E41" s="245"/>
      <c r="F41" s="245"/>
      <c r="G41" s="245"/>
      <c r="H41" s="245"/>
      <c r="I41" s="246"/>
    </row>
    <row r="42" spans="1:9" s="111" customFormat="1" ht="25.5" customHeight="1" x14ac:dyDescent="0.25">
      <c r="A42" s="241" t="s">
        <v>12</v>
      </c>
      <c r="B42" s="243"/>
      <c r="C42" s="107" t="s">
        <v>13</v>
      </c>
      <c r="D42" s="107" t="s">
        <v>14</v>
      </c>
      <c r="E42" s="107" t="s">
        <v>15</v>
      </c>
      <c r="F42" s="107" t="s">
        <v>120</v>
      </c>
      <c r="G42" s="107" t="s">
        <v>206</v>
      </c>
      <c r="H42" s="107" t="s">
        <v>207</v>
      </c>
      <c r="I42" s="107" t="s">
        <v>19</v>
      </c>
    </row>
    <row r="43" spans="1:9" s="111" customFormat="1" ht="16.5" customHeight="1" x14ac:dyDescent="0.25">
      <c r="A43" s="181" t="s">
        <v>208</v>
      </c>
      <c r="B43" s="183"/>
      <c r="C43" s="88">
        <v>1.44</v>
      </c>
      <c r="D43" s="88"/>
      <c r="E43" s="88"/>
      <c r="F43" s="88">
        <v>14</v>
      </c>
      <c r="G43" s="88">
        <v>2</v>
      </c>
      <c r="H43" s="91">
        <v>0.61699999999999999</v>
      </c>
      <c r="I43" s="88">
        <f>PRODUCT(C43:H43)</f>
        <v>24.88</v>
      </c>
    </row>
    <row r="44" spans="1:9" s="111" customFormat="1" ht="16.5" customHeight="1" x14ac:dyDescent="0.25">
      <c r="A44" s="181" t="s">
        <v>209</v>
      </c>
      <c r="B44" s="183"/>
      <c r="C44" s="88">
        <v>1.44</v>
      </c>
      <c r="D44" s="88"/>
      <c r="E44" s="88"/>
      <c r="F44" s="88">
        <v>14</v>
      </c>
      <c r="G44" s="88">
        <v>2</v>
      </c>
      <c r="H44" s="91">
        <v>0.61699999999999999</v>
      </c>
      <c r="I44" s="88">
        <f>PRODUCT(C44:H44)</f>
        <v>24.88</v>
      </c>
    </row>
    <row r="45" spans="1:9" s="111" customFormat="1" ht="16.5" customHeight="1" x14ac:dyDescent="0.25">
      <c r="A45" s="241" t="str">
        <f>"TOTAL - "&amp;[3]Composição!F57</f>
        <v>TOTAL - M3</v>
      </c>
      <c r="B45" s="242"/>
      <c r="C45" s="242"/>
      <c r="D45" s="242"/>
      <c r="E45" s="242"/>
      <c r="F45" s="242"/>
      <c r="G45" s="242"/>
      <c r="H45" s="243"/>
      <c r="I45" s="90">
        <f>SUM(I43:I44)</f>
        <v>49.76</v>
      </c>
    </row>
    <row r="46" spans="1:9" s="111" customFormat="1" ht="25.5" customHeight="1" x14ac:dyDescent="0.25">
      <c r="A46" s="87" t="str">
        <f>'[2]C.P.U.'!A35</f>
        <v>003.4</v>
      </c>
      <c r="B46" s="244" t="str">
        <f>'[2]C.P.U.'!E35</f>
        <v>Confecção de tampa em concreto armado, com armadura de ø 10,00 mm em duas direções, para poço de visita, Fck ≥ 35 MPa, inclusive lançamento de concreto, adensamento com vibrador de imersão, acabamento e formas</v>
      </c>
      <c r="C46" s="245"/>
      <c r="D46" s="245"/>
      <c r="E46" s="245"/>
      <c r="F46" s="245"/>
      <c r="G46" s="245"/>
      <c r="H46" s="245"/>
      <c r="I46" s="246"/>
    </row>
    <row r="47" spans="1:9" s="111" customFormat="1" ht="16.5" customHeight="1" x14ac:dyDescent="0.25">
      <c r="A47" s="241" t="s">
        <v>12</v>
      </c>
      <c r="B47" s="243"/>
      <c r="C47" s="107" t="s">
        <v>13</v>
      </c>
      <c r="D47" s="107" t="s">
        <v>14</v>
      </c>
      <c r="E47" s="107" t="s">
        <v>15</v>
      </c>
      <c r="F47" s="107" t="s">
        <v>120</v>
      </c>
      <c r="G47" s="107" t="s">
        <v>204</v>
      </c>
      <c r="H47" s="107" t="s">
        <v>27</v>
      </c>
      <c r="I47" s="107" t="s">
        <v>19</v>
      </c>
    </row>
    <row r="48" spans="1:9" s="111" customFormat="1" ht="16.5" customHeight="1" x14ac:dyDescent="0.25">
      <c r="A48" s="181" t="s">
        <v>210</v>
      </c>
      <c r="B48" s="183"/>
      <c r="C48" s="88">
        <v>1.4</v>
      </c>
      <c r="D48" s="88">
        <v>1.4</v>
      </c>
      <c r="E48" s="88"/>
      <c r="F48" s="88"/>
      <c r="G48" s="88"/>
      <c r="H48" s="89"/>
      <c r="I48" s="88">
        <f>PRODUCT(C48:H48)</f>
        <v>1.96</v>
      </c>
    </row>
    <row r="49" spans="1:19" s="111" customFormat="1" ht="16.5" customHeight="1" x14ac:dyDescent="0.25">
      <c r="A49" s="241" t="str">
        <f>"TOTAL - "&amp;[3]Composição!F59</f>
        <v>TOTAL - H</v>
      </c>
      <c r="B49" s="242"/>
      <c r="C49" s="242"/>
      <c r="D49" s="242"/>
      <c r="E49" s="242"/>
      <c r="F49" s="242"/>
      <c r="G49" s="242"/>
      <c r="H49" s="243"/>
      <c r="I49" s="90">
        <f>SUM(I48)</f>
        <v>1.96</v>
      </c>
    </row>
    <row r="50" spans="1:19" s="111" customFormat="1" ht="16.5" customHeight="1" x14ac:dyDescent="0.25">
      <c r="A50" s="87" t="str">
        <f>'[2]C.P.U.'!A36</f>
        <v>003.5</v>
      </c>
      <c r="B50" s="244" t="str">
        <f>'[2]C.P.U.'!E36</f>
        <v>Corte e dobra de aço CA-50, diâmetro de 10,0 mm (0,617kg/m), utilizado em estrutura diversas (Armadura positiva e negativa em duas direções para tampa de concreto)</v>
      </c>
      <c r="C50" s="245"/>
      <c r="D50" s="245"/>
      <c r="E50" s="245"/>
      <c r="F50" s="245"/>
      <c r="G50" s="245"/>
      <c r="H50" s="245"/>
      <c r="I50" s="246"/>
    </row>
    <row r="51" spans="1:19" s="111" customFormat="1" ht="25.5" customHeight="1" x14ac:dyDescent="0.25">
      <c r="A51" s="241" t="s">
        <v>12</v>
      </c>
      <c r="B51" s="243"/>
      <c r="C51" s="107" t="s">
        <v>13</v>
      </c>
      <c r="D51" s="107" t="s">
        <v>14</v>
      </c>
      <c r="E51" s="107" t="s">
        <v>15</v>
      </c>
      <c r="F51" s="107" t="s">
        <v>120</v>
      </c>
      <c r="G51" s="107" t="s">
        <v>206</v>
      </c>
      <c r="H51" s="107" t="s">
        <v>211</v>
      </c>
      <c r="I51" s="107" t="s">
        <v>19</v>
      </c>
    </row>
    <row r="52" spans="1:19" s="111" customFormat="1" ht="16.5" customHeight="1" x14ac:dyDescent="0.25">
      <c r="A52" s="181" t="s">
        <v>212</v>
      </c>
      <c r="B52" s="183"/>
      <c r="C52" s="88">
        <v>1.44</v>
      </c>
      <c r="D52" s="88"/>
      <c r="E52" s="88"/>
      <c r="F52" s="88">
        <v>14</v>
      </c>
      <c r="G52" s="88">
        <v>2</v>
      </c>
      <c r="H52" s="91">
        <v>0.61699999999999999</v>
      </c>
      <c r="I52" s="88">
        <f>PRODUCT(C52:H52)</f>
        <v>24.88</v>
      </c>
    </row>
    <row r="53" spans="1:19" s="111" customFormat="1" ht="16.5" customHeight="1" x14ac:dyDescent="0.25">
      <c r="A53" s="181" t="s">
        <v>213</v>
      </c>
      <c r="B53" s="183"/>
      <c r="C53" s="88">
        <v>1.44</v>
      </c>
      <c r="D53" s="88"/>
      <c r="E53" s="88"/>
      <c r="F53" s="88">
        <v>14</v>
      </c>
      <c r="G53" s="88">
        <v>2</v>
      </c>
      <c r="H53" s="91">
        <v>0.61699999999999999</v>
      </c>
      <c r="I53" s="88">
        <f>PRODUCT(C53:H53)</f>
        <v>24.88</v>
      </c>
    </row>
    <row r="54" spans="1:19" s="111" customFormat="1" ht="16.5" customHeight="1" x14ac:dyDescent="0.25">
      <c r="A54" s="241" t="str">
        <f>"TOTAL - "&amp;[3]Composição!F60</f>
        <v>TOTAL - H</v>
      </c>
      <c r="B54" s="242"/>
      <c r="C54" s="242"/>
      <c r="D54" s="242"/>
      <c r="E54" s="242"/>
      <c r="F54" s="242"/>
      <c r="G54" s="242"/>
      <c r="H54" s="243"/>
      <c r="I54" s="90">
        <f>SUM(I52:I53)</f>
        <v>49.76</v>
      </c>
    </row>
    <row r="55" spans="1:19" s="111" customFormat="1" ht="25.5" customHeight="1" x14ac:dyDescent="0.25">
      <c r="A55" s="87" t="str">
        <f>'[2]C.P.U.'!A37</f>
        <v>003.6</v>
      </c>
      <c r="B55" s="244" t="str">
        <f>'[2]C.P.U.'!E37</f>
        <v>Reboco, em argamassa traço 1:3 (Em volume de cimento e areia média úmida) para paredes internas, preparo mecânico com betoneira 600 L, aplicado manualmente em faces internas de paredes, espessura de 35 mm.</v>
      </c>
      <c r="C55" s="245"/>
      <c r="D55" s="245"/>
      <c r="E55" s="245"/>
      <c r="F55" s="245"/>
      <c r="G55" s="245"/>
      <c r="H55" s="245"/>
      <c r="I55" s="246"/>
    </row>
    <row r="56" spans="1:19" s="111" customFormat="1" ht="16.5" customHeight="1" x14ac:dyDescent="0.25">
      <c r="A56" s="241" t="s">
        <v>12</v>
      </c>
      <c r="B56" s="243"/>
      <c r="C56" s="107" t="s">
        <v>13</v>
      </c>
      <c r="D56" s="107" t="s">
        <v>14</v>
      </c>
      <c r="E56" s="107" t="s">
        <v>15</v>
      </c>
      <c r="F56" s="107" t="s">
        <v>17</v>
      </c>
      <c r="G56" s="107" t="s">
        <v>214</v>
      </c>
      <c r="H56" s="107" t="s">
        <v>27</v>
      </c>
      <c r="I56" s="107" t="s">
        <v>19</v>
      </c>
    </row>
    <row r="57" spans="1:19" s="111" customFormat="1" ht="16.5" customHeight="1" x14ac:dyDescent="0.25">
      <c r="A57" s="181" t="s">
        <v>215</v>
      </c>
      <c r="B57" s="183"/>
      <c r="C57" s="88"/>
      <c r="D57" s="88">
        <v>1</v>
      </c>
      <c r="E57" s="88">
        <v>1.5</v>
      </c>
      <c r="F57" s="88">
        <v>4</v>
      </c>
      <c r="G57" s="91">
        <v>3.5000000000000003E-2</v>
      </c>
      <c r="H57" s="89"/>
      <c r="I57" s="88">
        <f>PRODUCT(C57:H57)</f>
        <v>0.21</v>
      </c>
    </row>
    <row r="58" spans="1:19" s="111" customFormat="1" ht="16.5" customHeight="1" x14ac:dyDescent="0.25">
      <c r="A58" s="241" t="str">
        <f>"TOTAL - "&amp;[3]Composição!F61</f>
        <v xml:space="preserve">TOTAL - </v>
      </c>
      <c r="B58" s="242"/>
      <c r="C58" s="242"/>
      <c r="D58" s="242"/>
      <c r="E58" s="242"/>
      <c r="F58" s="242"/>
      <c r="G58" s="242"/>
      <c r="H58" s="243"/>
      <c r="I58" s="90">
        <f>SUM(I57)</f>
        <v>0.21</v>
      </c>
    </row>
    <row r="59" spans="1:19" s="111" customFormat="1" ht="16.5" customHeight="1" x14ac:dyDescent="0.25">
      <c r="A59" s="87" t="str">
        <f>'[2]C.P.U.'!A38</f>
        <v>003.7</v>
      </c>
      <c r="B59" s="244" t="str">
        <f>'[2]C.P.U.'!E38</f>
        <v>Armação do sistema de paredes com uso de tela Q-196 (3,11 kg/m2)</v>
      </c>
      <c r="C59" s="245"/>
      <c r="D59" s="245"/>
      <c r="E59" s="245"/>
      <c r="F59" s="245"/>
      <c r="G59" s="245"/>
      <c r="H59" s="245"/>
      <c r="I59" s="246"/>
    </row>
    <row r="60" spans="1:19" s="111" customFormat="1" ht="25.5" customHeight="1" x14ac:dyDescent="0.25">
      <c r="A60" s="241" t="s">
        <v>12</v>
      </c>
      <c r="B60" s="243"/>
      <c r="C60" s="107" t="s">
        <v>13</v>
      </c>
      <c r="D60" s="107" t="s">
        <v>14</v>
      </c>
      <c r="E60" s="107" t="s">
        <v>15</v>
      </c>
      <c r="F60" s="107" t="s">
        <v>120</v>
      </c>
      <c r="G60" s="107" t="s">
        <v>206</v>
      </c>
      <c r="H60" s="107" t="s">
        <v>207</v>
      </c>
      <c r="I60" s="107" t="s">
        <v>19</v>
      </c>
    </row>
    <row r="61" spans="1:19" s="111" customFormat="1" ht="16.5" customHeight="1" x14ac:dyDescent="0.25">
      <c r="A61" s="181" t="s">
        <v>210</v>
      </c>
      <c r="B61" s="183"/>
      <c r="C61" s="88"/>
      <c r="D61" s="88">
        <v>1</v>
      </c>
      <c r="E61" s="88">
        <v>1.5</v>
      </c>
      <c r="F61" s="88"/>
      <c r="G61" s="88">
        <v>4</v>
      </c>
      <c r="H61" s="89">
        <v>3.11</v>
      </c>
      <c r="I61" s="88">
        <f>PRODUCT(C61:H61)</f>
        <v>18.66</v>
      </c>
    </row>
    <row r="62" spans="1:19" s="111" customFormat="1" ht="16.5" customHeight="1" x14ac:dyDescent="0.25">
      <c r="A62" s="241" t="str">
        <f>"TOTAL - "&amp;[3]Composição!F62</f>
        <v xml:space="preserve">TOTAL - </v>
      </c>
      <c r="B62" s="242"/>
      <c r="C62" s="242"/>
      <c r="D62" s="242"/>
      <c r="E62" s="242"/>
      <c r="F62" s="242"/>
      <c r="G62" s="242"/>
      <c r="H62" s="243"/>
      <c r="I62" s="90">
        <f>SUM(I61)</f>
        <v>18.66</v>
      </c>
    </row>
    <row r="63" spans="1:19" ht="25.5" customHeight="1" x14ac:dyDescent="0.25">
      <c r="A63" s="12"/>
      <c r="B63" s="12"/>
      <c r="C63" s="12"/>
      <c r="D63" s="12"/>
      <c r="E63" s="12"/>
      <c r="F63" s="12"/>
      <c r="G63" s="12"/>
      <c r="H63" s="12"/>
      <c r="I63" s="12"/>
      <c r="J63" s="12"/>
      <c r="K63" s="12"/>
      <c r="L63" s="12"/>
      <c r="M63" s="12"/>
      <c r="N63" s="12"/>
      <c r="O63" s="12"/>
      <c r="P63" s="12"/>
      <c r="Q63" s="12"/>
      <c r="R63" s="12"/>
      <c r="S63" s="12"/>
    </row>
    <row r="64" spans="1:19" ht="25.5" customHeight="1" x14ac:dyDescent="0.25">
      <c r="A64" s="12"/>
      <c r="B64" s="12"/>
      <c r="C64" s="12"/>
      <c r="D64" s="12"/>
      <c r="E64" s="12"/>
      <c r="F64" s="12"/>
      <c r="G64" s="12"/>
      <c r="H64" s="12"/>
      <c r="I64" s="12"/>
      <c r="J64" s="12"/>
      <c r="K64" s="12"/>
      <c r="L64" s="12"/>
      <c r="M64" s="12"/>
      <c r="N64" s="12"/>
      <c r="O64" s="12"/>
      <c r="P64" s="12"/>
      <c r="Q64" s="12"/>
      <c r="R64" s="12"/>
      <c r="S64" s="12"/>
    </row>
    <row r="65" spans="1:19" ht="16.5" customHeight="1" x14ac:dyDescent="0.25">
      <c r="A65" s="12"/>
      <c r="B65" s="12"/>
      <c r="C65" s="12"/>
      <c r="D65" s="12"/>
      <c r="E65" s="12"/>
      <c r="F65" s="12"/>
      <c r="G65" s="12"/>
      <c r="H65" s="12"/>
      <c r="I65" s="12"/>
      <c r="J65" s="12"/>
      <c r="K65" s="12"/>
      <c r="L65" s="12"/>
      <c r="M65" s="12"/>
      <c r="N65" s="12"/>
      <c r="O65" s="12"/>
      <c r="P65" s="12"/>
      <c r="Q65" s="12"/>
      <c r="R65" s="12"/>
      <c r="S65" s="12"/>
    </row>
    <row r="66" spans="1:19" ht="16.5" customHeight="1" x14ac:dyDescent="0.25">
      <c r="A66" s="12"/>
      <c r="B66" s="12"/>
      <c r="C66" s="12"/>
      <c r="D66" s="12"/>
      <c r="E66" s="12"/>
      <c r="F66" s="12"/>
      <c r="G66" s="12"/>
      <c r="H66" s="12"/>
      <c r="I66" s="12"/>
      <c r="J66" s="12"/>
      <c r="K66" s="12"/>
      <c r="L66" s="12"/>
      <c r="M66" s="12"/>
      <c r="N66" s="12"/>
      <c r="O66" s="12"/>
      <c r="P66" s="12"/>
      <c r="Q66" s="12"/>
      <c r="R66" s="12"/>
      <c r="S66" s="12"/>
    </row>
    <row r="67" spans="1:19" ht="16.5" customHeight="1" x14ac:dyDescent="0.25">
      <c r="A67" s="12"/>
      <c r="B67" s="12"/>
      <c r="C67" s="12"/>
      <c r="D67" s="12"/>
      <c r="E67" s="12"/>
      <c r="F67" s="12"/>
      <c r="G67" s="12"/>
      <c r="H67" s="12"/>
      <c r="I67" s="12"/>
      <c r="J67" s="12"/>
      <c r="K67" s="12"/>
      <c r="L67" s="12"/>
      <c r="M67" s="12"/>
      <c r="N67" s="12"/>
      <c r="O67" s="12"/>
      <c r="P67" s="12"/>
      <c r="Q67" s="12"/>
      <c r="R67" s="12"/>
      <c r="S67" s="12"/>
    </row>
    <row r="68" spans="1:19" ht="16.5" customHeight="1" x14ac:dyDescent="0.25">
      <c r="A68" s="12"/>
      <c r="B68" s="12"/>
      <c r="C68" s="12"/>
      <c r="D68" s="12"/>
      <c r="E68" s="12"/>
      <c r="F68" s="12"/>
      <c r="G68" s="12"/>
      <c r="H68" s="12"/>
      <c r="I68" s="12"/>
      <c r="J68" s="12"/>
      <c r="K68" s="12"/>
      <c r="L68" s="12"/>
      <c r="M68" s="12"/>
      <c r="N68" s="12"/>
      <c r="O68" s="12"/>
      <c r="P68" s="12"/>
      <c r="Q68" s="12"/>
      <c r="R68" s="12"/>
      <c r="S68" s="12"/>
    </row>
    <row r="69" spans="1:19" ht="25.5" customHeight="1" x14ac:dyDescent="0.25">
      <c r="A69" s="12"/>
      <c r="B69" s="12"/>
      <c r="C69" s="12"/>
      <c r="D69" s="12"/>
      <c r="E69" s="12"/>
      <c r="F69" s="12"/>
      <c r="G69" s="12"/>
      <c r="H69" s="12"/>
      <c r="I69" s="12"/>
      <c r="J69" s="12"/>
      <c r="K69" s="12"/>
      <c r="L69" s="12"/>
      <c r="M69" s="12"/>
      <c r="N69" s="12"/>
      <c r="O69" s="12"/>
      <c r="P69" s="12"/>
      <c r="Q69" s="12"/>
      <c r="R69" s="12"/>
      <c r="S69" s="12"/>
    </row>
    <row r="70" spans="1:19" ht="16.5" customHeight="1" x14ac:dyDescent="0.25">
      <c r="A70" s="12"/>
      <c r="B70" s="12"/>
      <c r="C70" s="12"/>
      <c r="D70" s="12"/>
      <c r="E70" s="12"/>
      <c r="F70" s="12"/>
      <c r="G70" s="12"/>
      <c r="H70" s="12"/>
      <c r="I70" s="12"/>
      <c r="J70" s="12"/>
      <c r="K70" s="12"/>
      <c r="L70" s="12"/>
      <c r="M70" s="12"/>
      <c r="N70" s="12"/>
      <c r="O70" s="12"/>
      <c r="P70" s="12"/>
      <c r="Q70" s="12"/>
      <c r="R70" s="12"/>
      <c r="S70" s="12"/>
    </row>
    <row r="71" spans="1:19" ht="16.5" customHeight="1" x14ac:dyDescent="0.25">
      <c r="A71" s="12"/>
      <c r="B71" s="12"/>
      <c r="C71" s="12"/>
      <c r="D71" s="12"/>
      <c r="E71" s="12"/>
      <c r="F71" s="12"/>
      <c r="G71" s="12"/>
      <c r="H71" s="12"/>
      <c r="I71" s="12"/>
      <c r="J71" s="12"/>
      <c r="K71" s="12"/>
      <c r="L71" s="12"/>
      <c r="M71" s="12"/>
      <c r="N71" s="12"/>
      <c r="O71" s="12"/>
      <c r="P71" s="12"/>
      <c r="Q71" s="12"/>
      <c r="R71" s="12"/>
      <c r="S71" s="12"/>
    </row>
    <row r="72" spans="1:19" ht="16.5" customHeight="1" x14ac:dyDescent="0.25">
      <c r="A72" s="12"/>
      <c r="B72" s="12"/>
      <c r="C72" s="12"/>
      <c r="D72" s="12"/>
      <c r="E72" s="12"/>
      <c r="F72" s="12"/>
      <c r="G72" s="12"/>
      <c r="H72" s="12"/>
      <c r="I72" s="12"/>
      <c r="J72" s="12"/>
      <c r="K72" s="12"/>
      <c r="L72" s="12"/>
      <c r="M72" s="12"/>
      <c r="N72" s="12"/>
      <c r="O72" s="12"/>
      <c r="P72" s="12"/>
      <c r="Q72" s="12"/>
      <c r="R72" s="12"/>
      <c r="S72" s="12"/>
    </row>
    <row r="73" spans="1:19" ht="25.5" customHeight="1" x14ac:dyDescent="0.25">
      <c r="A73" s="12"/>
      <c r="B73" s="12"/>
      <c r="C73" s="12"/>
      <c r="D73" s="12"/>
      <c r="E73" s="12"/>
      <c r="F73" s="12"/>
      <c r="G73" s="12"/>
      <c r="H73" s="12"/>
      <c r="I73" s="12"/>
      <c r="J73" s="12"/>
      <c r="K73" s="12"/>
      <c r="L73" s="12"/>
      <c r="M73" s="12"/>
      <c r="N73" s="12"/>
      <c r="O73" s="12"/>
      <c r="P73" s="12"/>
      <c r="Q73" s="12"/>
      <c r="R73" s="12"/>
      <c r="S73" s="12"/>
    </row>
    <row r="74" spans="1:19" ht="16.5" customHeight="1" x14ac:dyDescent="0.25">
      <c r="A74" s="12"/>
      <c r="B74" s="12"/>
      <c r="C74" s="12"/>
      <c r="D74" s="12"/>
      <c r="E74" s="12"/>
      <c r="F74" s="12"/>
      <c r="G74" s="12"/>
      <c r="H74" s="12"/>
      <c r="I74" s="12"/>
      <c r="J74" s="12"/>
      <c r="K74" s="12"/>
      <c r="L74" s="12"/>
      <c r="M74" s="12"/>
      <c r="N74" s="12"/>
      <c r="O74" s="12"/>
      <c r="P74" s="12"/>
      <c r="Q74" s="12"/>
      <c r="R74" s="12"/>
      <c r="S74" s="12"/>
    </row>
    <row r="75" spans="1:19" ht="16.5" customHeight="1" x14ac:dyDescent="0.25">
      <c r="A75" s="12"/>
      <c r="B75" s="12"/>
      <c r="C75" s="12"/>
      <c r="D75" s="12"/>
      <c r="E75" s="12"/>
      <c r="F75" s="12"/>
      <c r="G75" s="12"/>
      <c r="H75" s="12"/>
      <c r="I75" s="12"/>
      <c r="J75" s="12"/>
      <c r="K75" s="12"/>
      <c r="L75" s="12"/>
      <c r="M75" s="12"/>
      <c r="N75" s="12"/>
      <c r="O75" s="12"/>
      <c r="P75" s="12"/>
      <c r="Q75" s="12"/>
      <c r="R75" s="12"/>
      <c r="S75" s="12"/>
    </row>
    <row r="76" spans="1:19" ht="16.5" customHeight="1" x14ac:dyDescent="0.25">
      <c r="A76" s="12"/>
      <c r="B76" s="12"/>
      <c r="C76" s="12"/>
      <c r="D76" s="12"/>
      <c r="E76" s="12"/>
      <c r="F76" s="12"/>
      <c r="G76" s="12"/>
      <c r="H76" s="12"/>
      <c r="I76" s="12"/>
      <c r="J76" s="12"/>
      <c r="K76" s="12"/>
      <c r="L76" s="12"/>
      <c r="M76" s="12"/>
      <c r="N76" s="12"/>
      <c r="O76" s="12"/>
      <c r="P76" s="12"/>
      <c r="Q76" s="12"/>
      <c r="R76" s="12"/>
      <c r="S76" s="12"/>
    </row>
    <row r="77" spans="1:19" ht="16.5" customHeight="1" x14ac:dyDescent="0.25">
      <c r="A77" s="12"/>
      <c r="B77" s="12"/>
      <c r="C77" s="12"/>
      <c r="D77" s="12"/>
      <c r="E77" s="12"/>
      <c r="F77" s="12"/>
      <c r="G77" s="12"/>
      <c r="H77" s="12"/>
      <c r="I77" s="12"/>
      <c r="J77" s="12"/>
      <c r="K77" s="12"/>
      <c r="L77" s="12"/>
      <c r="M77" s="12"/>
      <c r="N77" s="12"/>
      <c r="O77" s="12"/>
      <c r="P77" s="12"/>
      <c r="Q77" s="12"/>
      <c r="R77" s="12"/>
      <c r="S77" s="12"/>
    </row>
  </sheetData>
  <mergeCells count="63">
    <mergeCell ref="A1:I3"/>
    <mergeCell ref="A4:I4"/>
    <mergeCell ref="A5:I5"/>
    <mergeCell ref="A6:A7"/>
    <mergeCell ref="B6:F7"/>
    <mergeCell ref="G6:G7"/>
    <mergeCell ref="H6:H7"/>
    <mergeCell ref="I6:I7"/>
    <mergeCell ref="B19:I19"/>
    <mergeCell ref="A8:I8"/>
    <mergeCell ref="B9:I9"/>
    <mergeCell ref="B10:I10"/>
    <mergeCell ref="A11:B11"/>
    <mergeCell ref="A12:B12"/>
    <mergeCell ref="A13:H13"/>
    <mergeCell ref="B14:I14"/>
    <mergeCell ref="A15:B15"/>
    <mergeCell ref="A16:B16"/>
    <mergeCell ref="A17:B17"/>
    <mergeCell ref="A18:H18"/>
    <mergeCell ref="A31:H31"/>
    <mergeCell ref="A20:B20"/>
    <mergeCell ref="A21:B21"/>
    <mergeCell ref="A22:H22"/>
    <mergeCell ref="B23:I23"/>
    <mergeCell ref="A24:B24"/>
    <mergeCell ref="A25:B25"/>
    <mergeCell ref="A26:B26"/>
    <mergeCell ref="A27:H27"/>
    <mergeCell ref="B28:I28"/>
    <mergeCell ref="A29:B29"/>
    <mergeCell ref="A30:B30"/>
    <mergeCell ref="A43:B43"/>
    <mergeCell ref="B32:I32"/>
    <mergeCell ref="A33:B33"/>
    <mergeCell ref="A34:B34"/>
    <mergeCell ref="A35:H35"/>
    <mergeCell ref="B36:I36"/>
    <mergeCell ref="B37:I37"/>
    <mergeCell ref="A38:B38"/>
    <mergeCell ref="A39:B39"/>
    <mergeCell ref="A40:H40"/>
    <mergeCell ref="B41:I41"/>
    <mergeCell ref="A42:B42"/>
    <mergeCell ref="B55:I55"/>
    <mergeCell ref="A44:B44"/>
    <mergeCell ref="A45:H45"/>
    <mergeCell ref="B46:I46"/>
    <mergeCell ref="A47:B47"/>
    <mergeCell ref="A48:B48"/>
    <mergeCell ref="A49:H49"/>
    <mergeCell ref="B50:I50"/>
    <mergeCell ref="A51:B51"/>
    <mergeCell ref="A52:B52"/>
    <mergeCell ref="A53:B53"/>
    <mergeCell ref="A54:H54"/>
    <mergeCell ref="A62:H62"/>
    <mergeCell ref="A56:B56"/>
    <mergeCell ref="A57:B57"/>
    <mergeCell ref="A58:H58"/>
    <mergeCell ref="B59:I59"/>
    <mergeCell ref="A60:B60"/>
    <mergeCell ref="A61:B61"/>
  </mergeCells>
  <pageMargins left="0.511811024" right="0.511811024" top="0.78740157499999996" bottom="0.78740157499999996" header="0.31496062000000002" footer="0.31496062000000002"/>
  <pageSetup paperSize="9" scale="61" fitToHeight="0" orientation="landscape" verticalDpi="0" r:id="rId1"/>
  <rowBreaks count="1" manualBreakCount="1">
    <brk id="45"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topLeftCell="A4" zoomScaleNormal="100" zoomScaleSheetLayoutView="100" workbookViewId="0">
      <selection activeCell="J6" sqref="J6"/>
    </sheetView>
  </sheetViews>
  <sheetFormatPr defaultRowHeight="14.25" x14ac:dyDescent="0.25"/>
  <cols>
    <col min="1" max="1" width="12.7109375" style="77" customWidth="1"/>
    <col min="2" max="2" width="31.5703125" style="37" customWidth="1"/>
    <col min="3" max="6" width="14.7109375" style="37" customWidth="1"/>
    <col min="7" max="7" width="14.7109375" style="78" customWidth="1"/>
    <col min="8" max="10" width="14.7109375" style="37" customWidth="1"/>
    <col min="11" max="11" width="9.140625" style="37"/>
    <col min="12" max="13" width="13.140625" style="37" bestFit="1" customWidth="1"/>
    <col min="14" max="256" width="9.140625" style="37"/>
    <col min="257" max="257" width="12.7109375" style="37" customWidth="1"/>
    <col min="258" max="258" width="31.5703125" style="37" customWidth="1"/>
    <col min="259" max="266" width="14.7109375" style="37" customWidth="1"/>
    <col min="267" max="267" width="9.140625" style="37"/>
    <col min="268" max="269" width="13.140625" style="37" bestFit="1" customWidth="1"/>
    <col min="270" max="512" width="9.140625" style="37"/>
    <col min="513" max="513" width="12.7109375" style="37" customWidth="1"/>
    <col min="514" max="514" width="31.5703125" style="37" customWidth="1"/>
    <col min="515" max="522" width="14.7109375" style="37" customWidth="1"/>
    <col min="523" max="523" width="9.140625" style="37"/>
    <col min="524" max="525" width="13.140625" style="37" bestFit="1" customWidth="1"/>
    <col min="526" max="768" width="9.140625" style="37"/>
    <col min="769" max="769" width="12.7109375" style="37" customWidth="1"/>
    <col min="770" max="770" width="31.5703125" style="37" customWidth="1"/>
    <col min="771" max="778" width="14.7109375" style="37" customWidth="1"/>
    <col min="779" max="779" width="9.140625" style="37"/>
    <col min="780" max="781" width="13.140625" style="37" bestFit="1" customWidth="1"/>
    <col min="782" max="1024" width="9.140625" style="37"/>
    <col min="1025" max="1025" width="12.7109375" style="37" customWidth="1"/>
    <col min="1026" max="1026" width="31.5703125" style="37" customWidth="1"/>
    <col min="1027" max="1034" width="14.7109375" style="37" customWidth="1"/>
    <col min="1035" max="1035" width="9.140625" style="37"/>
    <col min="1036" max="1037" width="13.140625" style="37" bestFit="1" customWidth="1"/>
    <col min="1038" max="1280" width="9.140625" style="37"/>
    <col min="1281" max="1281" width="12.7109375" style="37" customWidth="1"/>
    <col min="1282" max="1282" width="31.5703125" style="37" customWidth="1"/>
    <col min="1283" max="1290" width="14.7109375" style="37" customWidth="1"/>
    <col min="1291" max="1291" width="9.140625" style="37"/>
    <col min="1292" max="1293" width="13.140625" style="37" bestFit="1" customWidth="1"/>
    <col min="1294" max="1536" width="9.140625" style="37"/>
    <col min="1537" max="1537" width="12.7109375" style="37" customWidth="1"/>
    <col min="1538" max="1538" width="31.5703125" style="37" customWidth="1"/>
    <col min="1539" max="1546" width="14.7109375" style="37" customWidth="1"/>
    <col min="1547" max="1547" width="9.140625" style="37"/>
    <col min="1548" max="1549" width="13.140625" style="37" bestFit="1" customWidth="1"/>
    <col min="1550" max="1792" width="9.140625" style="37"/>
    <col min="1793" max="1793" width="12.7109375" style="37" customWidth="1"/>
    <col min="1794" max="1794" width="31.5703125" style="37" customWidth="1"/>
    <col min="1795" max="1802" width="14.7109375" style="37" customWidth="1"/>
    <col min="1803" max="1803" width="9.140625" style="37"/>
    <col min="1804" max="1805" width="13.140625" style="37" bestFit="1" customWidth="1"/>
    <col min="1806" max="2048" width="9.140625" style="37"/>
    <col min="2049" max="2049" width="12.7109375" style="37" customWidth="1"/>
    <col min="2050" max="2050" width="31.5703125" style="37" customWidth="1"/>
    <col min="2051" max="2058" width="14.7109375" style="37" customWidth="1"/>
    <col min="2059" max="2059" width="9.140625" style="37"/>
    <col min="2060" max="2061" width="13.140625" style="37" bestFit="1" customWidth="1"/>
    <col min="2062" max="2304" width="9.140625" style="37"/>
    <col min="2305" max="2305" width="12.7109375" style="37" customWidth="1"/>
    <col min="2306" max="2306" width="31.5703125" style="37" customWidth="1"/>
    <col min="2307" max="2314" width="14.7109375" style="37" customWidth="1"/>
    <col min="2315" max="2315" width="9.140625" style="37"/>
    <col min="2316" max="2317" width="13.140625" style="37" bestFit="1" customWidth="1"/>
    <col min="2318" max="2560" width="9.140625" style="37"/>
    <col min="2561" max="2561" width="12.7109375" style="37" customWidth="1"/>
    <col min="2562" max="2562" width="31.5703125" style="37" customWidth="1"/>
    <col min="2563" max="2570" width="14.7109375" style="37" customWidth="1"/>
    <col min="2571" max="2571" width="9.140625" style="37"/>
    <col min="2572" max="2573" width="13.140625" style="37" bestFit="1" customWidth="1"/>
    <col min="2574" max="2816" width="9.140625" style="37"/>
    <col min="2817" max="2817" width="12.7109375" style="37" customWidth="1"/>
    <col min="2818" max="2818" width="31.5703125" style="37" customWidth="1"/>
    <col min="2819" max="2826" width="14.7109375" style="37" customWidth="1"/>
    <col min="2827" max="2827" width="9.140625" style="37"/>
    <col min="2828" max="2829" width="13.140625" style="37" bestFit="1" customWidth="1"/>
    <col min="2830" max="3072" width="9.140625" style="37"/>
    <col min="3073" max="3073" width="12.7109375" style="37" customWidth="1"/>
    <col min="3074" max="3074" width="31.5703125" style="37" customWidth="1"/>
    <col min="3075" max="3082" width="14.7109375" style="37" customWidth="1"/>
    <col min="3083" max="3083" width="9.140625" style="37"/>
    <col min="3084" max="3085" width="13.140625" style="37" bestFit="1" customWidth="1"/>
    <col min="3086" max="3328" width="9.140625" style="37"/>
    <col min="3329" max="3329" width="12.7109375" style="37" customWidth="1"/>
    <col min="3330" max="3330" width="31.5703125" style="37" customWidth="1"/>
    <col min="3331" max="3338" width="14.7109375" style="37" customWidth="1"/>
    <col min="3339" max="3339" width="9.140625" style="37"/>
    <col min="3340" max="3341" width="13.140625" style="37" bestFit="1" customWidth="1"/>
    <col min="3342" max="3584" width="9.140625" style="37"/>
    <col min="3585" max="3585" width="12.7109375" style="37" customWidth="1"/>
    <col min="3586" max="3586" width="31.5703125" style="37" customWidth="1"/>
    <col min="3587" max="3594" width="14.7109375" style="37" customWidth="1"/>
    <col min="3595" max="3595" width="9.140625" style="37"/>
    <col min="3596" max="3597" width="13.140625" style="37" bestFit="1" customWidth="1"/>
    <col min="3598" max="3840" width="9.140625" style="37"/>
    <col min="3841" max="3841" width="12.7109375" style="37" customWidth="1"/>
    <col min="3842" max="3842" width="31.5703125" style="37" customWidth="1"/>
    <col min="3843" max="3850" width="14.7109375" style="37" customWidth="1"/>
    <col min="3851" max="3851" width="9.140625" style="37"/>
    <col min="3852" max="3853" width="13.140625" style="37" bestFit="1" customWidth="1"/>
    <col min="3854" max="4096" width="9.140625" style="37"/>
    <col min="4097" max="4097" width="12.7109375" style="37" customWidth="1"/>
    <col min="4098" max="4098" width="31.5703125" style="37" customWidth="1"/>
    <col min="4099" max="4106" width="14.7109375" style="37" customWidth="1"/>
    <col min="4107" max="4107" width="9.140625" style="37"/>
    <col min="4108" max="4109" width="13.140625" style="37" bestFit="1" customWidth="1"/>
    <col min="4110" max="4352" width="9.140625" style="37"/>
    <col min="4353" max="4353" width="12.7109375" style="37" customWidth="1"/>
    <col min="4354" max="4354" width="31.5703125" style="37" customWidth="1"/>
    <col min="4355" max="4362" width="14.7109375" style="37" customWidth="1"/>
    <col min="4363" max="4363" width="9.140625" style="37"/>
    <col min="4364" max="4365" width="13.140625" style="37" bestFit="1" customWidth="1"/>
    <col min="4366" max="4608" width="9.140625" style="37"/>
    <col min="4609" max="4609" width="12.7109375" style="37" customWidth="1"/>
    <col min="4610" max="4610" width="31.5703125" style="37" customWidth="1"/>
    <col min="4611" max="4618" width="14.7109375" style="37" customWidth="1"/>
    <col min="4619" max="4619" width="9.140625" style="37"/>
    <col min="4620" max="4621" width="13.140625" style="37" bestFit="1" customWidth="1"/>
    <col min="4622" max="4864" width="9.140625" style="37"/>
    <col min="4865" max="4865" width="12.7109375" style="37" customWidth="1"/>
    <col min="4866" max="4866" width="31.5703125" style="37" customWidth="1"/>
    <col min="4867" max="4874" width="14.7109375" style="37" customWidth="1"/>
    <col min="4875" max="4875" width="9.140625" style="37"/>
    <col min="4876" max="4877" width="13.140625" style="37" bestFit="1" customWidth="1"/>
    <col min="4878" max="5120" width="9.140625" style="37"/>
    <col min="5121" max="5121" width="12.7109375" style="37" customWidth="1"/>
    <col min="5122" max="5122" width="31.5703125" style="37" customWidth="1"/>
    <col min="5123" max="5130" width="14.7109375" style="37" customWidth="1"/>
    <col min="5131" max="5131" width="9.140625" style="37"/>
    <col min="5132" max="5133" width="13.140625" style="37" bestFit="1" customWidth="1"/>
    <col min="5134" max="5376" width="9.140625" style="37"/>
    <col min="5377" max="5377" width="12.7109375" style="37" customWidth="1"/>
    <col min="5378" max="5378" width="31.5703125" style="37" customWidth="1"/>
    <col min="5379" max="5386" width="14.7109375" style="37" customWidth="1"/>
    <col min="5387" max="5387" width="9.140625" style="37"/>
    <col min="5388" max="5389" width="13.140625" style="37" bestFit="1" customWidth="1"/>
    <col min="5390" max="5632" width="9.140625" style="37"/>
    <col min="5633" max="5633" width="12.7109375" style="37" customWidth="1"/>
    <col min="5634" max="5634" width="31.5703125" style="37" customWidth="1"/>
    <col min="5635" max="5642" width="14.7109375" style="37" customWidth="1"/>
    <col min="5643" max="5643" width="9.140625" style="37"/>
    <col min="5644" max="5645" width="13.140625" style="37" bestFit="1" customWidth="1"/>
    <col min="5646" max="5888" width="9.140625" style="37"/>
    <col min="5889" max="5889" width="12.7109375" style="37" customWidth="1"/>
    <col min="5890" max="5890" width="31.5703125" style="37" customWidth="1"/>
    <col min="5891" max="5898" width="14.7109375" style="37" customWidth="1"/>
    <col min="5899" max="5899" width="9.140625" style="37"/>
    <col min="5900" max="5901" width="13.140625" style="37" bestFit="1" customWidth="1"/>
    <col min="5902" max="6144" width="9.140625" style="37"/>
    <col min="6145" max="6145" width="12.7109375" style="37" customWidth="1"/>
    <col min="6146" max="6146" width="31.5703125" style="37" customWidth="1"/>
    <col min="6147" max="6154" width="14.7109375" style="37" customWidth="1"/>
    <col min="6155" max="6155" width="9.140625" style="37"/>
    <col min="6156" max="6157" width="13.140625" style="37" bestFit="1" customWidth="1"/>
    <col min="6158" max="6400" width="9.140625" style="37"/>
    <col min="6401" max="6401" width="12.7109375" style="37" customWidth="1"/>
    <col min="6402" max="6402" width="31.5703125" style="37" customWidth="1"/>
    <col min="6403" max="6410" width="14.7109375" style="37" customWidth="1"/>
    <col min="6411" max="6411" width="9.140625" style="37"/>
    <col min="6412" max="6413" width="13.140625" style="37" bestFit="1" customWidth="1"/>
    <col min="6414" max="6656" width="9.140625" style="37"/>
    <col min="6657" max="6657" width="12.7109375" style="37" customWidth="1"/>
    <col min="6658" max="6658" width="31.5703125" style="37" customWidth="1"/>
    <col min="6659" max="6666" width="14.7109375" style="37" customWidth="1"/>
    <col min="6667" max="6667" width="9.140625" style="37"/>
    <col min="6668" max="6669" width="13.140625" style="37" bestFit="1" customWidth="1"/>
    <col min="6670" max="6912" width="9.140625" style="37"/>
    <col min="6913" max="6913" width="12.7109375" style="37" customWidth="1"/>
    <col min="6914" max="6914" width="31.5703125" style="37" customWidth="1"/>
    <col min="6915" max="6922" width="14.7109375" style="37" customWidth="1"/>
    <col min="6923" max="6923" width="9.140625" style="37"/>
    <col min="6924" max="6925" width="13.140625" style="37" bestFit="1" customWidth="1"/>
    <col min="6926" max="7168" width="9.140625" style="37"/>
    <col min="7169" max="7169" width="12.7109375" style="37" customWidth="1"/>
    <col min="7170" max="7170" width="31.5703125" style="37" customWidth="1"/>
    <col min="7171" max="7178" width="14.7109375" style="37" customWidth="1"/>
    <col min="7179" max="7179" width="9.140625" style="37"/>
    <col min="7180" max="7181" width="13.140625" style="37" bestFit="1" customWidth="1"/>
    <col min="7182" max="7424" width="9.140625" style="37"/>
    <col min="7425" max="7425" width="12.7109375" style="37" customWidth="1"/>
    <col min="7426" max="7426" width="31.5703125" style="37" customWidth="1"/>
    <col min="7427" max="7434" width="14.7109375" style="37" customWidth="1"/>
    <col min="7435" max="7435" width="9.140625" style="37"/>
    <col min="7436" max="7437" width="13.140625" style="37" bestFit="1" customWidth="1"/>
    <col min="7438" max="7680" width="9.140625" style="37"/>
    <col min="7681" max="7681" width="12.7109375" style="37" customWidth="1"/>
    <col min="7682" max="7682" width="31.5703125" style="37" customWidth="1"/>
    <col min="7683" max="7690" width="14.7109375" style="37" customWidth="1"/>
    <col min="7691" max="7691" width="9.140625" style="37"/>
    <col min="7692" max="7693" width="13.140625" style="37" bestFit="1" customWidth="1"/>
    <col min="7694" max="7936" width="9.140625" style="37"/>
    <col min="7937" max="7937" width="12.7109375" style="37" customWidth="1"/>
    <col min="7938" max="7938" width="31.5703125" style="37" customWidth="1"/>
    <col min="7939" max="7946" width="14.7109375" style="37" customWidth="1"/>
    <col min="7947" max="7947" width="9.140625" style="37"/>
    <col min="7948" max="7949" width="13.140625" style="37" bestFit="1" customWidth="1"/>
    <col min="7950" max="8192" width="9.140625" style="37"/>
    <col min="8193" max="8193" width="12.7109375" style="37" customWidth="1"/>
    <col min="8194" max="8194" width="31.5703125" style="37" customWidth="1"/>
    <col min="8195" max="8202" width="14.7109375" style="37" customWidth="1"/>
    <col min="8203" max="8203" width="9.140625" style="37"/>
    <col min="8204" max="8205" width="13.140625" style="37" bestFit="1" customWidth="1"/>
    <col min="8206" max="8448" width="9.140625" style="37"/>
    <col min="8449" max="8449" width="12.7109375" style="37" customWidth="1"/>
    <col min="8450" max="8450" width="31.5703125" style="37" customWidth="1"/>
    <col min="8451" max="8458" width="14.7109375" style="37" customWidth="1"/>
    <col min="8459" max="8459" width="9.140625" style="37"/>
    <col min="8460" max="8461" width="13.140625" style="37" bestFit="1" customWidth="1"/>
    <col min="8462" max="8704" width="9.140625" style="37"/>
    <col min="8705" max="8705" width="12.7109375" style="37" customWidth="1"/>
    <col min="8706" max="8706" width="31.5703125" style="37" customWidth="1"/>
    <col min="8707" max="8714" width="14.7109375" style="37" customWidth="1"/>
    <col min="8715" max="8715" width="9.140625" style="37"/>
    <col min="8716" max="8717" width="13.140625" style="37" bestFit="1" customWidth="1"/>
    <col min="8718" max="8960" width="9.140625" style="37"/>
    <col min="8961" max="8961" width="12.7109375" style="37" customWidth="1"/>
    <col min="8962" max="8962" width="31.5703125" style="37" customWidth="1"/>
    <col min="8963" max="8970" width="14.7109375" style="37" customWidth="1"/>
    <col min="8971" max="8971" width="9.140625" style="37"/>
    <col min="8972" max="8973" width="13.140625" style="37" bestFit="1" customWidth="1"/>
    <col min="8974" max="9216" width="9.140625" style="37"/>
    <col min="9217" max="9217" width="12.7109375" style="37" customWidth="1"/>
    <col min="9218" max="9218" width="31.5703125" style="37" customWidth="1"/>
    <col min="9219" max="9226" width="14.7109375" style="37" customWidth="1"/>
    <col min="9227" max="9227" width="9.140625" style="37"/>
    <col min="9228" max="9229" width="13.140625" style="37" bestFit="1" customWidth="1"/>
    <col min="9230" max="9472" width="9.140625" style="37"/>
    <col min="9473" max="9473" width="12.7109375" style="37" customWidth="1"/>
    <col min="9474" max="9474" width="31.5703125" style="37" customWidth="1"/>
    <col min="9475" max="9482" width="14.7109375" style="37" customWidth="1"/>
    <col min="9483" max="9483" width="9.140625" style="37"/>
    <col min="9484" max="9485" width="13.140625" style="37" bestFit="1" customWidth="1"/>
    <col min="9486" max="9728" width="9.140625" style="37"/>
    <col min="9729" max="9729" width="12.7109375" style="37" customWidth="1"/>
    <col min="9730" max="9730" width="31.5703125" style="37" customWidth="1"/>
    <col min="9731" max="9738" width="14.7109375" style="37" customWidth="1"/>
    <col min="9739" max="9739" width="9.140625" style="37"/>
    <col min="9740" max="9741" width="13.140625" style="37" bestFit="1" customWidth="1"/>
    <col min="9742" max="9984" width="9.140625" style="37"/>
    <col min="9985" max="9985" width="12.7109375" style="37" customWidth="1"/>
    <col min="9986" max="9986" width="31.5703125" style="37" customWidth="1"/>
    <col min="9987" max="9994" width="14.7109375" style="37" customWidth="1"/>
    <col min="9995" max="9995" width="9.140625" style="37"/>
    <col min="9996" max="9997" width="13.140625" style="37" bestFit="1" customWidth="1"/>
    <col min="9998" max="10240" width="9.140625" style="37"/>
    <col min="10241" max="10241" width="12.7109375" style="37" customWidth="1"/>
    <col min="10242" max="10242" width="31.5703125" style="37" customWidth="1"/>
    <col min="10243" max="10250" width="14.7109375" style="37" customWidth="1"/>
    <col min="10251" max="10251" width="9.140625" style="37"/>
    <col min="10252" max="10253" width="13.140625" style="37" bestFit="1" customWidth="1"/>
    <col min="10254" max="10496" width="9.140625" style="37"/>
    <col min="10497" max="10497" width="12.7109375" style="37" customWidth="1"/>
    <col min="10498" max="10498" width="31.5703125" style="37" customWidth="1"/>
    <col min="10499" max="10506" width="14.7109375" style="37" customWidth="1"/>
    <col min="10507" max="10507" width="9.140625" style="37"/>
    <col min="10508" max="10509" width="13.140625" style="37" bestFit="1" customWidth="1"/>
    <col min="10510" max="10752" width="9.140625" style="37"/>
    <col min="10753" max="10753" width="12.7109375" style="37" customWidth="1"/>
    <col min="10754" max="10754" width="31.5703125" style="37" customWidth="1"/>
    <col min="10755" max="10762" width="14.7109375" style="37" customWidth="1"/>
    <col min="10763" max="10763" width="9.140625" style="37"/>
    <col min="10764" max="10765" width="13.140625" style="37" bestFit="1" customWidth="1"/>
    <col min="10766" max="11008" width="9.140625" style="37"/>
    <col min="11009" max="11009" width="12.7109375" style="37" customWidth="1"/>
    <col min="11010" max="11010" width="31.5703125" style="37" customWidth="1"/>
    <col min="11011" max="11018" width="14.7109375" style="37" customWidth="1"/>
    <col min="11019" max="11019" width="9.140625" style="37"/>
    <col min="11020" max="11021" width="13.140625" style="37" bestFit="1" customWidth="1"/>
    <col min="11022" max="11264" width="9.140625" style="37"/>
    <col min="11265" max="11265" width="12.7109375" style="37" customWidth="1"/>
    <col min="11266" max="11266" width="31.5703125" style="37" customWidth="1"/>
    <col min="11267" max="11274" width="14.7109375" style="37" customWidth="1"/>
    <col min="11275" max="11275" width="9.140625" style="37"/>
    <col min="11276" max="11277" width="13.140625" style="37" bestFit="1" customWidth="1"/>
    <col min="11278" max="11520" width="9.140625" style="37"/>
    <col min="11521" max="11521" width="12.7109375" style="37" customWidth="1"/>
    <col min="11522" max="11522" width="31.5703125" style="37" customWidth="1"/>
    <col min="11523" max="11530" width="14.7109375" style="37" customWidth="1"/>
    <col min="11531" max="11531" width="9.140625" style="37"/>
    <col min="11532" max="11533" width="13.140625" style="37" bestFit="1" customWidth="1"/>
    <col min="11534" max="11776" width="9.140625" style="37"/>
    <col min="11777" max="11777" width="12.7109375" style="37" customWidth="1"/>
    <col min="11778" max="11778" width="31.5703125" style="37" customWidth="1"/>
    <col min="11779" max="11786" width="14.7109375" style="37" customWidth="1"/>
    <col min="11787" max="11787" width="9.140625" style="37"/>
    <col min="11788" max="11789" width="13.140625" style="37" bestFit="1" customWidth="1"/>
    <col min="11790" max="12032" width="9.140625" style="37"/>
    <col min="12033" max="12033" width="12.7109375" style="37" customWidth="1"/>
    <col min="12034" max="12034" width="31.5703125" style="37" customWidth="1"/>
    <col min="12035" max="12042" width="14.7109375" style="37" customWidth="1"/>
    <col min="12043" max="12043" width="9.140625" style="37"/>
    <col min="12044" max="12045" width="13.140625" style="37" bestFit="1" customWidth="1"/>
    <col min="12046" max="12288" width="9.140625" style="37"/>
    <col min="12289" max="12289" width="12.7109375" style="37" customWidth="1"/>
    <col min="12290" max="12290" width="31.5703125" style="37" customWidth="1"/>
    <col min="12291" max="12298" width="14.7109375" style="37" customWidth="1"/>
    <col min="12299" max="12299" width="9.140625" style="37"/>
    <col min="12300" max="12301" width="13.140625" style="37" bestFit="1" customWidth="1"/>
    <col min="12302" max="12544" width="9.140625" style="37"/>
    <col min="12545" max="12545" width="12.7109375" style="37" customWidth="1"/>
    <col min="12546" max="12546" width="31.5703125" style="37" customWidth="1"/>
    <col min="12547" max="12554" width="14.7109375" style="37" customWidth="1"/>
    <col min="12555" max="12555" width="9.140625" style="37"/>
    <col min="12556" max="12557" width="13.140625" style="37" bestFit="1" customWidth="1"/>
    <col min="12558" max="12800" width="9.140625" style="37"/>
    <col min="12801" max="12801" width="12.7109375" style="37" customWidth="1"/>
    <col min="12802" max="12802" width="31.5703125" style="37" customWidth="1"/>
    <col min="12803" max="12810" width="14.7109375" style="37" customWidth="1"/>
    <col min="12811" max="12811" width="9.140625" style="37"/>
    <col min="12812" max="12813" width="13.140625" style="37" bestFit="1" customWidth="1"/>
    <col min="12814" max="13056" width="9.140625" style="37"/>
    <col min="13057" max="13057" width="12.7109375" style="37" customWidth="1"/>
    <col min="13058" max="13058" width="31.5703125" style="37" customWidth="1"/>
    <col min="13059" max="13066" width="14.7109375" style="37" customWidth="1"/>
    <col min="13067" max="13067" width="9.140625" style="37"/>
    <col min="13068" max="13069" width="13.140625" style="37" bestFit="1" customWidth="1"/>
    <col min="13070" max="13312" width="9.140625" style="37"/>
    <col min="13313" max="13313" width="12.7109375" style="37" customWidth="1"/>
    <col min="13314" max="13314" width="31.5703125" style="37" customWidth="1"/>
    <col min="13315" max="13322" width="14.7109375" style="37" customWidth="1"/>
    <col min="13323" max="13323" width="9.140625" style="37"/>
    <col min="13324" max="13325" width="13.140625" style="37" bestFit="1" customWidth="1"/>
    <col min="13326" max="13568" width="9.140625" style="37"/>
    <col min="13569" max="13569" width="12.7109375" style="37" customWidth="1"/>
    <col min="13570" max="13570" width="31.5703125" style="37" customWidth="1"/>
    <col min="13571" max="13578" width="14.7109375" style="37" customWidth="1"/>
    <col min="13579" max="13579" width="9.140625" style="37"/>
    <col min="13580" max="13581" width="13.140625" style="37" bestFit="1" customWidth="1"/>
    <col min="13582" max="13824" width="9.140625" style="37"/>
    <col min="13825" max="13825" width="12.7109375" style="37" customWidth="1"/>
    <col min="13826" max="13826" width="31.5703125" style="37" customWidth="1"/>
    <col min="13827" max="13834" width="14.7109375" style="37" customWidth="1"/>
    <col min="13835" max="13835" width="9.140625" style="37"/>
    <col min="13836" max="13837" width="13.140625" style="37" bestFit="1" customWidth="1"/>
    <col min="13838" max="14080" width="9.140625" style="37"/>
    <col min="14081" max="14081" width="12.7109375" style="37" customWidth="1"/>
    <col min="14082" max="14082" width="31.5703125" style="37" customWidth="1"/>
    <col min="14083" max="14090" width="14.7109375" style="37" customWidth="1"/>
    <col min="14091" max="14091" width="9.140625" style="37"/>
    <col min="14092" max="14093" width="13.140625" style="37" bestFit="1" customWidth="1"/>
    <col min="14094" max="14336" width="9.140625" style="37"/>
    <col min="14337" max="14337" width="12.7109375" style="37" customWidth="1"/>
    <col min="14338" max="14338" width="31.5703125" style="37" customWidth="1"/>
    <col min="14339" max="14346" width="14.7109375" style="37" customWidth="1"/>
    <col min="14347" max="14347" width="9.140625" style="37"/>
    <col min="14348" max="14349" width="13.140625" style="37" bestFit="1" customWidth="1"/>
    <col min="14350" max="14592" width="9.140625" style="37"/>
    <col min="14593" max="14593" width="12.7109375" style="37" customWidth="1"/>
    <col min="14594" max="14594" width="31.5703125" style="37" customWidth="1"/>
    <col min="14595" max="14602" width="14.7109375" style="37" customWidth="1"/>
    <col min="14603" max="14603" width="9.140625" style="37"/>
    <col min="14604" max="14605" width="13.140625" style="37" bestFit="1" customWidth="1"/>
    <col min="14606" max="14848" width="9.140625" style="37"/>
    <col min="14849" max="14849" width="12.7109375" style="37" customWidth="1"/>
    <col min="14850" max="14850" width="31.5703125" style="37" customWidth="1"/>
    <col min="14851" max="14858" width="14.7109375" style="37" customWidth="1"/>
    <col min="14859" max="14859" width="9.140625" style="37"/>
    <col min="14860" max="14861" width="13.140625" style="37" bestFit="1" customWidth="1"/>
    <col min="14862" max="15104" width="9.140625" style="37"/>
    <col min="15105" max="15105" width="12.7109375" style="37" customWidth="1"/>
    <col min="15106" max="15106" width="31.5703125" style="37" customWidth="1"/>
    <col min="15107" max="15114" width="14.7109375" style="37" customWidth="1"/>
    <col min="15115" max="15115" width="9.140625" style="37"/>
    <col min="15116" max="15117" width="13.140625" style="37" bestFit="1" customWidth="1"/>
    <col min="15118" max="15360" width="9.140625" style="37"/>
    <col min="15361" max="15361" width="12.7109375" style="37" customWidth="1"/>
    <col min="15362" max="15362" width="31.5703125" style="37" customWidth="1"/>
    <col min="15363" max="15370" width="14.7109375" style="37" customWidth="1"/>
    <col min="15371" max="15371" width="9.140625" style="37"/>
    <col min="15372" max="15373" width="13.140625" style="37" bestFit="1" customWidth="1"/>
    <col min="15374" max="15616" width="9.140625" style="37"/>
    <col min="15617" max="15617" width="12.7109375" style="37" customWidth="1"/>
    <col min="15618" max="15618" width="31.5703125" style="37" customWidth="1"/>
    <col min="15619" max="15626" width="14.7109375" style="37" customWidth="1"/>
    <col min="15627" max="15627" width="9.140625" style="37"/>
    <col min="15628" max="15629" width="13.140625" style="37" bestFit="1" customWidth="1"/>
    <col min="15630" max="15872" width="9.140625" style="37"/>
    <col min="15873" max="15873" width="12.7109375" style="37" customWidth="1"/>
    <col min="15874" max="15874" width="31.5703125" style="37" customWidth="1"/>
    <col min="15875" max="15882" width="14.7109375" style="37" customWidth="1"/>
    <col min="15883" max="15883" width="9.140625" style="37"/>
    <col min="15884" max="15885" width="13.140625" style="37" bestFit="1" customWidth="1"/>
    <col min="15886" max="16128" width="9.140625" style="37"/>
    <col min="16129" max="16129" width="12.7109375" style="37" customWidth="1"/>
    <col min="16130" max="16130" width="31.5703125" style="37" customWidth="1"/>
    <col min="16131" max="16138" width="14.7109375" style="37" customWidth="1"/>
    <col min="16139" max="16139" width="9.140625" style="37"/>
    <col min="16140" max="16141" width="13.140625" style="37" bestFit="1" customWidth="1"/>
    <col min="16142" max="16384" width="9.140625" style="37"/>
  </cols>
  <sheetData>
    <row r="1" spans="1:10" ht="16.5" customHeight="1" x14ac:dyDescent="0.25">
      <c r="A1" s="257" t="s">
        <v>25</v>
      </c>
      <c r="B1" s="257"/>
      <c r="C1" s="257"/>
      <c r="D1" s="257"/>
      <c r="E1" s="257"/>
      <c r="F1" s="257"/>
      <c r="G1" s="257"/>
      <c r="H1" s="257"/>
      <c r="I1" s="257"/>
      <c r="J1" s="257"/>
    </row>
    <row r="2" spans="1:10" ht="16.5" customHeight="1" x14ac:dyDescent="0.25">
      <c r="A2" s="257"/>
      <c r="B2" s="257"/>
      <c r="C2" s="257"/>
      <c r="D2" s="257"/>
      <c r="E2" s="257"/>
      <c r="F2" s="257"/>
      <c r="G2" s="257"/>
      <c r="H2" s="257"/>
      <c r="I2" s="257"/>
      <c r="J2" s="257"/>
    </row>
    <row r="3" spans="1:10" ht="16.5" customHeight="1" x14ac:dyDescent="0.25">
      <c r="A3" s="257"/>
      <c r="B3" s="257"/>
      <c r="C3" s="257"/>
      <c r="D3" s="257"/>
      <c r="E3" s="257"/>
      <c r="F3" s="257"/>
      <c r="G3" s="257"/>
      <c r="H3" s="257"/>
      <c r="I3" s="257"/>
      <c r="J3" s="257"/>
    </row>
    <row r="4" spans="1:10" ht="18.95" customHeight="1" x14ac:dyDescent="0.25">
      <c r="A4" s="231" t="str">
        <f>'[4]PLANILHA ORÇAMENTÁRIA'!A4</f>
        <v>OBRA POR EXECUÇÃO INDIRETA</v>
      </c>
      <c r="B4" s="231"/>
      <c r="C4" s="231"/>
      <c r="D4" s="231"/>
      <c r="E4" s="231"/>
      <c r="F4" s="231"/>
      <c r="G4" s="231"/>
      <c r="H4" s="231"/>
      <c r="I4" s="231"/>
      <c r="J4" s="231"/>
    </row>
    <row r="5" spans="1:10" ht="18.95" customHeight="1" x14ac:dyDescent="0.25">
      <c r="A5" s="258" t="str">
        <f>'[4]PLANILHA ORÇAMENTÁRIA'!A5</f>
        <v>Setor requisitante: Secretaria Municipal de Obras e Serviços Urbanos</v>
      </c>
      <c r="B5" s="258"/>
      <c r="C5" s="258"/>
      <c r="D5" s="258"/>
      <c r="E5" s="258"/>
      <c r="F5" s="258"/>
      <c r="G5" s="258"/>
      <c r="H5" s="258"/>
      <c r="I5" s="258"/>
      <c r="J5" s="258"/>
    </row>
    <row r="6" spans="1:10" ht="38.1" customHeight="1" x14ac:dyDescent="0.25">
      <c r="A6" s="68" t="str">
        <f>'[4]PLANILHA ORÇAMENTÁRIA'!A6</f>
        <v>Objeto:</v>
      </c>
      <c r="B6" s="261" t="str">
        <f>'Plan. Orçamentária'!C6</f>
        <v>LOE 01 - Pavimentação de via em piso de concreto pré-moldado intertravado, tipo Sextavado - Rua Nossa Senhora do Rosário e Rua Artur Vidigal, bairro Santa Maria - Nova Era/MG</v>
      </c>
      <c r="C6" s="262"/>
      <c r="D6" s="262"/>
      <c r="E6" s="262"/>
      <c r="F6" s="262"/>
      <c r="G6" s="262"/>
      <c r="H6" s="262"/>
      <c r="I6" s="263"/>
      <c r="J6" s="69">
        <f ca="1">'Plan. Orçamentária'!I6:I7</f>
        <v>44887</v>
      </c>
    </row>
    <row r="7" spans="1:10" ht="18.95" customHeight="1" x14ac:dyDescent="0.25">
      <c r="A7" s="167" t="s">
        <v>91</v>
      </c>
      <c r="B7" s="167"/>
      <c r="C7" s="167"/>
      <c r="D7" s="167"/>
      <c r="E7" s="167"/>
      <c r="F7" s="167"/>
      <c r="G7" s="167"/>
      <c r="H7" s="167"/>
      <c r="I7" s="167"/>
      <c r="J7" s="167"/>
    </row>
    <row r="8" spans="1:10" ht="16.5" customHeight="1" x14ac:dyDescent="0.25">
      <c r="A8" s="116"/>
      <c r="B8" s="70"/>
      <c r="C8" s="70"/>
      <c r="D8" s="70"/>
      <c r="E8" s="70"/>
      <c r="F8" s="70"/>
      <c r="G8" s="70"/>
      <c r="H8" s="70"/>
      <c r="I8" s="70"/>
      <c r="J8" s="117"/>
    </row>
    <row r="9" spans="1:10" ht="16.5" customHeight="1" x14ac:dyDescent="0.25">
      <c r="A9" s="259" t="s">
        <v>92</v>
      </c>
      <c r="B9" s="259"/>
      <c r="C9" s="259"/>
      <c r="D9" s="259"/>
      <c r="E9" s="259"/>
      <c r="F9" s="259"/>
      <c r="G9" s="259"/>
      <c r="H9" s="259"/>
      <c r="I9" s="260">
        <v>0.9</v>
      </c>
      <c r="J9" s="260"/>
    </row>
    <row r="10" spans="1:10" ht="16.5" customHeight="1" x14ac:dyDescent="0.25">
      <c r="A10" s="259" t="s">
        <v>93</v>
      </c>
      <c r="B10" s="259"/>
      <c r="C10" s="259"/>
      <c r="D10" s="259"/>
      <c r="E10" s="259"/>
      <c r="F10" s="259"/>
      <c r="G10" s="259"/>
      <c r="H10" s="259"/>
      <c r="I10" s="260">
        <v>0.05</v>
      </c>
      <c r="J10" s="260"/>
    </row>
    <row r="11" spans="1:10" ht="16.5" customHeight="1" x14ac:dyDescent="0.25">
      <c r="A11" s="116"/>
      <c r="B11" s="70"/>
      <c r="C11" s="70"/>
      <c r="D11" s="70"/>
      <c r="E11" s="70"/>
      <c r="F11" s="70"/>
      <c r="G11" s="70"/>
      <c r="H11" s="70"/>
      <c r="I11" s="70"/>
      <c r="J11" s="117"/>
    </row>
    <row r="12" spans="1:10" ht="16.5" customHeight="1" x14ac:dyDescent="0.25">
      <c r="A12" s="167" t="s">
        <v>94</v>
      </c>
      <c r="B12" s="167"/>
      <c r="C12" s="167"/>
      <c r="D12" s="167"/>
      <c r="E12" s="167"/>
      <c r="F12" s="167"/>
      <c r="G12" s="167"/>
      <c r="H12" s="167"/>
      <c r="I12" s="167"/>
      <c r="J12" s="167"/>
    </row>
    <row r="13" spans="1:10" ht="16.5" customHeight="1" x14ac:dyDescent="0.25">
      <c r="A13" s="116"/>
      <c r="B13" s="70"/>
      <c r="C13" s="70"/>
      <c r="D13" s="70"/>
      <c r="E13" s="70"/>
      <c r="F13" s="70"/>
      <c r="G13" s="70"/>
      <c r="H13" s="70"/>
      <c r="I13" s="70"/>
      <c r="J13" s="117"/>
    </row>
    <row r="14" spans="1:10" ht="16.5" customHeight="1" x14ac:dyDescent="0.25">
      <c r="A14" s="250" t="s">
        <v>95</v>
      </c>
      <c r="B14" s="251"/>
      <c r="C14" s="251"/>
      <c r="D14" s="251"/>
      <c r="E14" s="251"/>
      <c r="F14" s="251"/>
      <c r="G14" s="251"/>
      <c r="H14" s="251"/>
      <c r="I14" s="251"/>
      <c r="J14" s="252"/>
    </row>
    <row r="15" spans="1:10" ht="16.5" customHeight="1" x14ac:dyDescent="0.25">
      <c r="A15" s="253" t="s">
        <v>261</v>
      </c>
      <c r="B15" s="253"/>
      <c r="C15" s="253"/>
      <c r="D15" s="253"/>
      <c r="E15" s="253"/>
      <c r="F15" s="253"/>
      <c r="G15" s="253"/>
      <c r="H15" s="253"/>
      <c r="I15" s="253"/>
      <c r="J15" s="253"/>
    </row>
    <row r="16" spans="1:10" ht="16.5" customHeight="1" x14ac:dyDescent="0.25">
      <c r="A16" s="116"/>
      <c r="B16" s="70"/>
      <c r="C16" s="70"/>
      <c r="D16" s="70"/>
      <c r="E16" s="70"/>
      <c r="F16" s="70"/>
      <c r="G16" s="70"/>
      <c r="H16" s="70"/>
      <c r="I16" s="70"/>
      <c r="J16" s="117"/>
    </row>
    <row r="17" spans="1:13" ht="16.5" customHeight="1" x14ac:dyDescent="0.25">
      <c r="A17" s="273" t="s">
        <v>97</v>
      </c>
      <c r="B17" s="273"/>
      <c r="C17" s="273"/>
      <c r="D17" s="273"/>
      <c r="E17" s="273"/>
      <c r="F17" s="273"/>
      <c r="G17" s="273"/>
      <c r="H17" s="273"/>
      <c r="I17" s="124" t="s">
        <v>98</v>
      </c>
      <c r="J17" s="71" t="s">
        <v>99</v>
      </c>
    </row>
    <row r="18" spans="1:13" ht="16.5" customHeight="1" x14ac:dyDescent="0.25">
      <c r="A18" s="264" t="str">
        <f>IF($J$20=$A$167,"Encargos Sociais incidentes sobre a mão de obra","Administração Central")</f>
        <v>Administração Central</v>
      </c>
      <c r="B18" s="264"/>
      <c r="C18" s="264"/>
      <c r="D18" s="264"/>
      <c r="E18" s="264"/>
      <c r="F18" s="264"/>
      <c r="G18" s="264"/>
      <c r="H18" s="264"/>
      <c r="I18" s="72" t="s">
        <v>100</v>
      </c>
      <c r="J18" s="36">
        <v>4.0099999999999997E-2</v>
      </c>
    </row>
    <row r="19" spans="1:13" ht="16.5" customHeight="1" x14ac:dyDescent="0.25">
      <c r="A19" s="264" t="str">
        <f>IF($J$20=$A$167,"Administração Central da empresa ou consultoria - overhead","Seguro e Garantia")</f>
        <v>Seguro e Garantia</v>
      </c>
      <c r="B19" s="264"/>
      <c r="C19" s="264"/>
      <c r="D19" s="264"/>
      <c r="E19" s="264"/>
      <c r="F19" s="264"/>
      <c r="G19" s="264"/>
      <c r="H19" s="264"/>
      <c r="I19" s="72" t="s">
        <v>101</v>
      </c>
      <c r="J19" s="36">
        <v>4.0000000000000001E-3</v>
      </c>
    </row>
    <row r="20" spans="1:13" ht="16.5" customHeight="1" x14ac:dyDescent="0.25">
      <c r="A20" s="264" t="str">
        <f>IF($J$20=$A$167,"","Risco")</f>
        <v>Risco</v>
      </c>
      <c r="B20" s="264"/>
      <c r="C20" s="264"/>
      <c r="D20" s="264"/>
      <c r="E20" s="264"/>
      <c r="F20" s="264"/>
      <c r="G20" s="264"/>
      <c r="H20" s="264"/>
      <c r="I20" s="72" t="s">
        <v>102</v>
      </c>
      <c r="J20" s="36">
        <v>5.5999999999999999E-3</v>
      </c>
    </row>
    <row r="21" spans="1:13" ht="16.5" customHeight="1" x14ac:dyDescent="0.25">
      <c r="A21" s="264" t="str">
        <f>IF($J$20=$A$167,"","Despesas Financeiras")</f>
        <v>Despesas Financeiras</v>
      </c>
      <c r="B21" s="264"/>
      <c r="C21" s="264"/>
      <c r="D21" s="264"/>
      <c r="E21" s="264"/>
      <c r="F21" s="264"/>
      <c r="G21" s="264"/>
      <c r="H21" s="264"/>
      <c r="I21" s="72" t="s">
        <v>103</v>
      </c>
      <c r="J21" s="36">
        <v>1.11E-2</v>
      </c>
    </row>
    <row r="22" spans="1:13" ht="16.5" customHeight="1" x14ac:dyDescent="0.25">
      <c r="A22" s="264" t="str">
        <f>IF($J$20=$A$167,"Margem bruta da empresa de consultoria","Lucro")</f>
        <v>Lucro</v>
      </c>
      <c r="B22" s="264"/>
      <c r="C22" s="264"/>
      <c r="D22" s="264"/>
      <c r="E22" s="264"/>
      <c r="F22" s="264"/>
      <c r="G22" s="264"/>
      <c r="H22" s="264"/>
      <c r="I22" s="72" t="s">
        <v>104</v>
      </c>
      <c r="J22" s="36">
        <v>7.2999999999999995E-2</v>
      </c>
    </row>
    <row r="23" spans="1:13" ht="16.5" customHeight="1" x14ac:dyDescent="0.25">
      <c r="A23" s="264" t="s">
        <v>105</v>
      </c>
      <c r="B23" s="264"/>
      <c r="C23" s="264"/>
      <c r="D23" s="264"/>
      <c r="E23" s="264"/>
      <c r="F23" s="264"/>
      <c r="G23" s="264"/>
      <c r="H23" s="264"/>
      <c r="I23" s="72" t="s">
        <v>106</v>
      </c>
      <c r="J23" s="36">
        <v>3.6499999999999998E-2</v>
      </c>
    </row>
    <row r="24" spans="1:13" ht="16.5" customHeight="1" x14ac:dyDescent="0.25">
      <c r="A24" s="264" t="s">
        <v>107</v>
      </c>
      <c r="B24" s="264"/>
      <c r="C24" s="264"/>
      <c r="D24" s="264"/>
      <c r="E24" s="264"/>
      <c r="F24" s="264"/>
      <c r="G24" s="264"/>
      <c r="H24" s="264"/>
      <c r="I24" s="72" t="s">
        <v>108</v>
      </c>
      <c r="J24" s="73">
        <f>I10*I9</f>
        <v>4.4999999999999998E-2</v>
      </c>
    </row>
    <row r="25" spans="1:13" ht="16.5" customHeight="1" x14ac:dyDescent="0.25">
      <c r="A25" s="264" t="s">
        <v>109</v>
      </c>
      <c r="B25" s="264"/>
      <c r="C25" s="264"/>
      <c r="D25" s="264"/>
      <c r="E25" s="264"/>
      <c r="F25" s="264"/>
      <c r="G25" s="264"/>
      <c r="H25" s="264"/>
      <c r="I25" s="72" t="s">
        <v>110</v>
      </c>
      <c r="J25" s="73">
        <v>4.4999999999999998E-2</v>
      </c>
    </row>
    <row r="26" spans="1:13" ht="16.5" customHeight="1" x14ac:dyDescent="0.25">
      <c r="A26" s="264" t="s">
        <v>111</v>
      </c>
      <c r="B26" s="264"/>
      <c r="C26" s="264"/>
      <c r="D26" s="264"/>
      <c r="E26" s="264"/>
      <c r="F26" s="264"/>
      <c r="G26" s="264"/>
      <c r="H26" s="264"/>
      <c r="I26" s="74" t="s">
        <v>112</v>
      </c>
      <c r="J26" s="73">
        <f>(((1+J18+J19+J20)*(1+J21)*(1+J22))/(1-(J23+J24)))-1</f>
        <v>0.2399</v>
      </c>
      <c r="L26" s="75"/>
    </row>
    <row r="27" spans="1:13" ht="16.5" customHeight="1" x14ac:dyDescent="0.25">
      <c r="A27" s="274" t="s">
        <v>113</v>
      </c>
      <c r="B27" s="274"/>
      <c r="C27" s="274"/>
      <c r="D27" s="274"/>
      <c r="E27" s="274"/>
      <c r="F27" s="274"/>
      <c r="G27" s="274"/>
      <c r="H27" s="274"/>
      <c r="I27" s="125" t="s">
        <v>114</v>
      </c>
      <c r="J27" s="76">
        <f>(((1+(J18+J19+J20))*(1+J21)*(1+J22))/(1-(J23+J24+J25)))-1</f>
        <v>0.30380000000000001</v>
      </c>
    </row>
    <row r="28" spans="1:13" ht="16.5" customHeight="1" x14ac:dyDescent="0.25">
      <c r="A28" s="275"/>
      <c r="B28" s="276"/>
      <c r="C28" s="276"/>
      <c r="D28" s="276"/>
      <c r="E28" s="276"/>
      <c r="F28" s="276"/>
      <c r="G28" s="276"/>
      <c r="H28" s="276"/>
      <c r="I28" s="276"/>
      <c r="J28" s="277"/>
    </row>
    <row r="29" spans="1:13" ht="16.5" customHeight="1" x14ac:dyDescent="0.25">
      <c r="A29" s="254" t="s">
        <v>115</v>
      </c>
      <c r="B29" s="255"/>
      <c r="C29" s="255"/>
      <c r="D29" s="255"/>
      <c r="E29" s="255"/>
      <c r="F29" s="255"/>
      <c r="G29" s="255"/>
      <c r="H29" s="255"/>
      <c r="I29" s="255"/>
      <c r="J29" s="256"/>
      <c r="L29" s="75">
        <f>(1+J18+J19+J20)*(1+J21)*(1+J22)</f>
        <v>1.1388</v>
      </c>
      <c r="M29" s="75">
        <f>(L29/L30)-1</f>
        <v>0.30370000000000003</v>
      </c>
    </row>
    <row r="30" spans="1:13" ht="16.5" customHeight="1" x14ac:dyDescent="0.25">
      <c r="A30" s="254"/>
      <c r="B30" s="255"/>
      <c r="C30" s="255"/>
      <c r="D30" s="255"/>
      <c r="E30" s="255"/>
      <c r="F30" s="255"/>
      <c r="G30" s="255"/>
      <c r="H30" s="255"/>
      <c r="I30" s="255"/>
      <c r="J30" s="256"/>
      <c r="L30" s="75">
        <f>(1-J23-J24-J25)</f>
        <v>0.87350000000000005</v>
      </c>
    </row>
    <row r="31" spans="1:13" ht="16.5" customHeight="1" x14ac:dyDescent="0.25">
      <c r="A31" s="254"/>
      <c r="B31" s="255"/>
      <c r="C31" s="255"/>
      <c r="D31" s="255"/>
      <c r="E31" s="255"/>
      <c r="F31" s="255"/>
      <c r="G31" s="255"/>
      <c r="H31" s="255"/>
      <c r="I31" s="255"/>
      <c r="J31" s="256"/>
    </row>
    <row r="32" spans="1:13" ht="16.5" customHeight="1" x14ac:dyDescent="0.25">
      <c r="A32" s="254"/>
      <c r="B32" s="255"/>
      <c r="C32" s="255"/>
      <c r="D32" s="255"/>
      <c r="E32" s="255"/>
      <c r="F32" s="255"/>
      <c r="G32" s="255"/>
      <c r="H32" s="255"/>
      <c r="I32" s="255"/>
      <c r="J32" s="256"/>
    </row>
    <row r="33" spans="1:10" ht="16.5" customHeight="1" x14ac:dyDescent="0.25">
      <c r="A33" s="254"/>
      <c r="B33" s="255"/>
      <c r="C33" s="255"/>
      <c r="D33" s="255"/>
      <c r="E33" s="255"/>
      <c r="F33" s="255"/>
      <c r="G33" s="255"/>
      <c r="H33" s="255"/>
      <c r="I33" s="255"/>
      <c r="J33" s="256"/>
    </row>
    <row r="34" spans="1:10" ht="16.5" customHeight="1" x14ac:dyDescent="0.25">
      <c r="A34" s="265" t="str">
        <f>CONCATENATE("Declaro para os devidos fins que, conforme legislação tributária municipal, a base de cálculo deste tipo de obra corresponde à ",$I$9*100,"%, com a respectiva alíquota de ",$I$10*100,"%.")</f>
        <v>Declaro para os devidos fins que, conforme legislação tributária municipal, a base de cálculo deste tipo de obra corresponde à 90%, com a respectiva alíquota de 5%.</v>
      </c>
      <c r="B34" s="265"/>
      <c r="C34" s="265"/>
      <c r="D34" s="265"/>
      <c r="E34" s="265"/>
      <c r="F34" s="265"/>
      <c r="G34" s="265"/>
      <c r="H34" s="265"/>
      <c r="I34" s="265"/>
      <c r="J34" s="265"/>
    </row>
    <row r="35" spans="1:10" ht="16.5" customHeight="1" x14ac:dyDescent="0.25">
      <c r="A35" s="265"/>
      <c r="B35" s="265"/>
      <c r="C35" s="265"/>
      <c r="D35" s="265"/>
      <c r="E35" s="265"/>
      <c r="F35" s="265"/>
      <c r="G35" s="265"/>
      <c r="H35" s="265"/>
      <c r="I35" s="265"/>
      <c r="J35" s="265"/>
    </row>
    <row r="36" spans="1:10" ht="16.5" customHeight="1" x14ac:dyDescent="0.25">
      <c r="A36" s="265"/>
      <c r="B36" s="265"/>
      <c r="C36" s="265"/>
      <c r="D36" s="265"/>
      <c r="E36" s="265"/>
      <c r="F36" s="265"/>
      <c r="G36" s="265"/>
      <c r="H36" s="265"/>
      <c r="I36" s="265"/>
      <c r="J36" s="265"/>
    </row>
    <row r="37" spans="1:10" ht="16.5" customHeight="1" x14ac:dyDescent="0.2">
      <c r="A37" s="118"/>
      <c r="B37" s="119"/>
      <c r="C37" s="119"/>
      <c r="D37" s="119"/>
      <c r="E37" s="119"/>
      <c r="F37" s="119"/>
      <c r="G37" s="119"/>
      <c r="H37" s="119"/>
      <c r="I37" s="119"/>
      <c r="J37" s="120"/>
    </row>
    <row r="38" spans="1:10" ht="16.5" customHeight="1" x14ac:dyDescent="0.25">
      <c r="A38" s="265" t="str">
        <f>"Declaro para os devidos fins que o regime de Contribuição Previdenciária sobre a Receita Bruta adotado para elaboração do orçamento foi COM Desoneração, e que esta é a alternativa mais adequada para a Administração Pública."</f>
        <v>Declaro para os devidos fins que o regime de Contribuição Previdenciária sobre a Receita Bruta adotado para elaboração do orçamento foi COM Desoneração, e que esta é a alternativa mais adequada para a Administração Pública.</v>
      </c>
      <c r="B38" s="265"/>
      <c r="C38" s="265"/>
      <c r="D38" s="265"/>
      <c r="E38" s="265"/>
      <c r="F38" s="265"/>
      <c r="G38" s="265"/>
      <c r="H38" s="265"/>
      <c r="I38" s="265"/>
      <c r="J38" s="265"/>
    </row>
    <row r="39" spans="1:10" ht="16.5" customHeight="1" x14ac:dyDescent="0.25">
      <c r="A39" s="265"/>
      <c r="B39" s="265"/>
      <c r="C39" s="265"/>
      <c r="D39" s="265"/>
      <c r="E39" s="265"/>
      <c r="F39" s="265"/>
      <c r="G39" s="265"/>
      <c r="H39" s="265"/>
      <c r="I39" s="265"/>
      <c r="J39" s="265"/>
    </row>
    <row r="40" spans="1:10" ht="16.5" customHeight="1" x14ac:dyDescent="0.25">
      <c r="A40" s="265"/>
      <c r="B40" s="265"/>
      <c r="C40" s="265"/>
      <c r="D40" s="265"/>
      <c r="E40" s="265"/>
      <c r="F40" s="265"/>
      <c r="G40" s="265"/>
      <c r="H40" s="265"/>
      <c r="I40" s="265"/>
      <c r="J40" s="265"/>
    </row>
    <row r="41" spans="1:10" ht="16.5" customHeight="1" x14ac:dyDescent="0.2">
      <c r="A41" s="118"/>
      <c r="B41" s="119"/>
      <c r="C41" s="119"/>
      <c r="D41" s="119"/>
      <c r="E41" s="119"/>
      <c r="F41" s="119"/>
      <c r="G41" s="119"/>
      <c r="H41" s="119"/>
      <c r="I41" s="119"/>
      <c r="J41" s="120"/>
    </row>
    <row r="42" spans="1:10" ht="16.5" customHeight="1" x14ac:dyDescent="0.2">
      <c r="A42" s="118" t="s">
        <v>24</v>
      </c>
      <c r="B42" s="119"/>
      <c r="C42" s="119"/>
      <c r="D42" s="119"/>
      <c r="E42" s="119"/>
      <c r="F42" s="119"/>
      <c r="G42" s="119"/>
      <c r="H42" s="119"/>
      <c r="I42" s="119"/>
      <c r="J42" s="120"/>
    </row>
    <row r="43" spans="1:10" ht="16.5" customHeight="1" x14ac:dyDescent="0.25">
      <c r="A43" s="266"/>
      <c r="B43" s="266"/>
      <c r="C43" s="266"/>
      <c r="D43" s="266"/>
      <c r="E43" s="266"/>
      <c r="F43" s="266"/>
      <c r="G43" s="266"/>
      <c r="H43" s="266"/>
      <c r="I43" s="266"/>
      <c r="J43" s="266"/>
    </row>
    <row r="44" spans="1:10" ht="16.5" customHeight="1" x14ac:dyDescent="0.25">
      <c r="A44" s="266"/>
      <c r="B44" s="266"/>
      <c r="C44" s="266"/>
      <c r="D44" s="266"/>
      <c r="E44" s="266"/>
      <c r="F44" s="266"/>
      <c r="G44" s="266"/>
      <c r="H44" s="266"/>
      <c r="I44" s="266"/>
      <c r="J44" s="266"/>
    </row>
    <row r="45" spans="1:10" ht="16.5" customHeight="1" x14ac:dyDescent="0.25">
      <c r="A45" s="266"/>
      <c r="B45" s="266"/>
      <c r="C45" s="266"/>
      <c r="D45" s="266"/>
      <c r="E45" s="266"/>
      <c r="F45" s="266"/>
      <c r="G45" s="266"/>
      <c r="H45" s="266"/>
      <c r="I45" s="266"/>
      <c r="J45" s="266"/>
    </row>
    <row r="46" spans="1:10" ht="16.5" customHeight="1" x14ac:dyDescent="0.25">
      <c r="A46" s="266"/>
      <c r="B46" s="266"/>
      <c r="C46" s="266"/>
      <c r="D46" s="266"/>
      <c r="E46" s="266"/>
      <c r="F46" s="266"/>
      <c r="G46" s="266"/>
      <c r="H46" s="266"/>
      <c r="I46" s="266"/>
      <c r="J46" s="266"/>
    </row>
    <row r="47" spans="1:10" ht="16.5" customHeight="1" x14ac:dyDescent="0.25">
      <c r="A47" s="266"/>
      <c r="B47" s="266"/>
      <c r="C47" s="266"/>
      <c r="D47" s="266"/>
      <c r="E47" s="266"/>
      <c r="F47" s="266"/>
      <c r="G47" s="266"/>
      <c r="H47" s="266"/>
      <c r="I47" s="266"/>
      <c r="J47" s="266"/>
    </row>
    <row r="48" spans="1:10" ht="16.5" customHeight="1" x14ac:dyDescent="0.25">
      <c r="A48" s="266"/>
      <c r="B48" s="266"/>
      <c r="C48" s="266"/>
      <c r="D48" s="266"/>
      <c r="E48" s="266"/>
      <c r="F48" s="266"/>
      <c r="G48" s="266"/>
      <c r="H48" s="266"/>
      <c r="I48" s="266"/>
      <c r="J48" s="266"/>
    </row>
    <row r="49" spans="1:10" ht="16.5" customHeight="1" x14ac:dyDescent="0.25">
      <c r="A49" s="266"/>
      <c r="B49" s="266"/>
      <c r="C49" s="266"/>
      <c r="D49" s="266"/>
      <c r="E49" s="266"/>
      <c r="F49" s="266"/>
      <c r="G49" s="266"/>
      <c r="H49" s="266"/>
      <c r="I49" s="266"/>
      <c r="J49" s="266"/>
    </row>
    <row r="50" spans="1:10" ht="16.5" customHeight="1" x14ac:dyDescent="0.25">
      <c r="A50" s="267"/>
      <c r="B50" s="268"/>
      <c r="C50" s="268"/>
      <c r="D50" s="268"/>
      <c r="E50" s="268"/>
      <c r="F50" s="268"/>
      <c r="G50" s="268"/>
      <c r="H50" s="268"/>
      <c r="I50" s="268"/>
      <c r="J50" s="269"/>
    </row>
    <row r="51" spans="1:10" ht="16.5" customHeight="1" x14ac:dyDescent="0.25">
      <c r="A51" s="267"/>
      <c r="B51" s="268"/>
      <c r="C51" s="268"/>
      <c r="D51" s="268"/>
      <c r="E51" s="268"/>
      <c r="F51" s="268"/>
      <c r="G51" s="268"/>
      <c r="H51" s="268"/>
      <c r="I51" s="268"/>
      <c r="J51" s="269"/>
    </row>
    <row r="52" spans="1:10" ht="16.5" customHeight="1" x14ac:dyDescent="0.25">
      <c r="A52" s="270"/>
      <c r="B52" s="271"/>
      <c r="C52" s="271"/>
      <c r="D52" s="271"/>
      <c r="E52" s="271"/>
      <c r="F52" s="271"/>
      <c r="G52" s="271"/>
      <c r="H52" s="271"/>
      <c r="I52" s="271"/>
      <c r="J52" s="272"/>
    </row>
    <row r="53" spans="1:10" ht="16.5" customHeight="1" x14ac:dyDescent="0.25"/>
    <row r="54" spans="1:10" ht="16.5" customHeight="1" x14ac:dyDescent="0.25"/>
    <row r="55" spans="1:10" ht="16.5" customHeight="1" x14ac:dyDescent="0.25"/>
    <row r="56" spans="1:10" ht="16.5" customHeight="1" x14ac:dyDescent="0.25"/>
    <row r="57" spans="1:10" ht="16.5" customHeight="1" x14ac:dyDescent="0.25"/>
    <row r="58" spans="1:10" ht="16.5" customHeight="1" x14ac:dyDescent="0.25"/>
    <row r="59" spans="1:10" ht="16.5" customHeight="1" x14ac:dyDescent="0.25"/>
    <row r="60" spans="1:10" ht="16.5" customHeight="1" x14ac:dyDescent="0.25"/>
    <row r="61" spans="1:10" ht="16.5" customHeight="1" x14ac:dyDescent="0.25"/>
    <row r="62" spans="1:10" ht="16.5" customHeight="1" x14ac:dyDescent="0.25"/>
    <row r="63" spans="1:10" ht="16.5" customHeight="1" x14ac:dyDescent="0.25"/>
    <row r="64" spans="1:10" ht="16.5" customHeight="1" x14ac:dyDescent="0.25">
      <c r="A64" s="79" t="s">
        <v>96</v>
      </c>
    </row>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sheetData>
  <mergeCells count="30">
    <mergeCell ref="A34:J36"/>
    <mergeCell ref="A38:J40"/>
    <mergeCell ref="A43:J49"/>
    <mergeCell ref="A50:J52"/>
    <mergeCell ref="A17:H17"/>
    <mergeCell ref="A20:H20"/>
    <mergeCell ref="A21:H21"/>
    <mergeCell ref="A22:H22"/>
    <mergeCell ref="A23:H23"/>
    <mergeCell ref="A24:H24"/>
    <mergeCell ref="A25:H25"/>
    <mergeCell ref="A26:H26"/>
    <mergeCell ref="A27:H27"/>
    <mergeCell ref="A28:J28"/>
    <mergeCell ref="A12:J12"/>
    <mergeCell ref="A14:J14"/>
    <mergeCell ref="A15:J15"/>
    <mergeCell ref="A30:J33"/>
    <mergeCell ref="A1:J3"/>
    <mergeCell ref="A4:J4"/>
    <mergeCell ref="A5:J5"/>
    <mergeCell ref="A10:H10"/>
    <mergeCell ref="I10:J10"/>
    <mergeCell ref="B6:I6"/>
    <mergeCell ref="A7:J7"/>
    <mergeCell ref="A9:H9"/>
    <mergeCell ref="I9:J9"/>
    <mergeCell ref="A29:J29"/>
    <mergeCell ref="A18:H18"/>
    <mergeCell ref="A19:H19"/>
  </mergeCells>
  <conditionalFormatting sqref="A27:I27 A28">
    <cfRule type="expression" dxfId="2" priority="3" stopIfTrue="1">
      <formula>DESONERACAO="não"</formula>
    </cfRule>
  </conditionalFormatting>
  <conditionalFormatting sqref="J27">
    <cfRule type="expression" dxfId="1" priority="2" stopIfTrue="1">
      <formula>DESONERACAO="não"</formula>
    </cfRule>
  </conditionalFormatting>
  <conditionalFormatting sqref="J26">
    <cfRule type="expression" dxfId="0" priority="1" stopIfTrue="1">
      <formula>DESONERACAO="não"</formula>
    </cfRule>
  </conditionalFormatting>
  <dataValidations count="5">
    <dataValidation type="decimal" allowBlank="1" showErrorMessage="1" errorTitle="Erro de valores" error="Digite um valor entre 0% e 100%" sqref="J18:J23 JF18:JF23 TB18:TB23 ACX18:ACX23 AMT18:AMT23 AWP18:AWP23 BGL18:BGL23 BQH18:BQH23 CAD18:CAD23 CJZ18:CJZ23 CTV18:CTV23 DDR18:DDR23 DNN18:DNN23 DXJ18:DXJ23 EHF18:EHF23 ERB18:ERB23 FAX18:FAX23 FKT18:FKT23 FUP18:FUP23 GEL18:GEL23 GOH18:GOH23 GYD18:GYD23 HHZ18:HHZ23 HRV18:HRV23 IBR18:IBR23 ILN18:ILN23 IVJ18:IVJ23 JFF18:JFF23 JPB18:JPB23 JYX18:JYX23 KIT18:KIT23 KSP18:KSP23 LCL18:LCL23 LMH18:LMH23 LWD18:LWD23 MFZ18:MFZ23 MPV18:MPV23 MZR18:MZR23 NJN18:NJN23 NTJ18:NTJ23 ODF18:ODF23 ONB18:ONB23 OWX18:OWX23 PGT18:PGT23 PQP18:PQP23 QAL18:QAL23 QKH18:QKH23 QUD18:QUD23 RDZ18:RDZ23 RNV18:RNV23 RXR18:RXR23 SHN18:SHN23 SRJ18:SRJ23 TBF18:TBF23 TLB18:TLB23 TUX18:TUX23 UET18:UET23 UOP18:UOP23 UYL18:UYL23 VIH18:VIH23 VSD18:VSD23 WBZ18:WBZ23 WLV18:WLV23 WVR18:WVR23 J65553:J65558 JF65553:JF65558 TB65553:TB65558 ACX65553:ACX65558 AMT65553:AMT65558 AWP65553:AWP65558 BGL65553:BGL65558 BQH65553:BQH65558 CAD65553:CAD65558 CJZ65553:CJZ65558 CTV65553:CTV65558 DDR65553:DDR65558 DNN65553:DNN65558 DXJ65553:DXJ65558 EHF65553:EHF65558 ERB65553:ERB65558 FAX65553:FAX65558 FKT65553:FKT65558 FUP65553:FUP65558 GEL65553:GEL65558 GOH65553:GOH65558 GYD65553:GYD65558 HHZ65553:HHZ65558 HRV65553:HRV65558 IBR65553:IBR65558 ILN65553:ILN65558 IVJ65553:IVJ65558 JFF65553:JFF65558 JPB65553:JPB65558 JYX65553:JYX65558 KIT65553:KIT65558 KSP65553:KSP65558 LCL65553:LCL65558 LMH65553:LMH65558 LWD65553:LWD65558 MFZ65553:MFZ65558 MPV65553:MPV65558 MZR65553:MZR65558 NJN65553:NJN65558 NTJ65553:NTJ65558 ODF65553:ODF65558 ONB65553:ONB65558 OWX65553:OWX65558 PGT65553:PGT65558 PQP65553:PQP65558 QAL65553:QAL65558 QKH65553:QKH65558 QUD65553:QUD65558 RDZ65553:RDZ65558 RNV65553:RNV65558 RXR65553:RXR65558 SHN65553:SHN65558 SRJ65553:SRJ65558 TBF65553:TBF65558 TLB65553:TLB65558 TUX65553:TUX65558 UET65553:UET65558 UOP65553:UOP65558 UYL65553:UYL65558 VIH65553:VIH65558 VSD65553:VSD65558 WBZ65553:WBZ65558 WLV65553:WLV65558 WVR65553:WVR65558 J131089:J131094 JF131089:JF131094 TB131089:TB131094 ACX131089:ACX131094 AMT131089:AMT131094 AWP131089:AWP131094 BGL131089:BGL131094 BQH131089:BQH131094 CAD131089:CAD131094 CJZ131089:CJZ131094 CTV131089:CTV131094 DDR131089:DDR131094 DNN131089:DNN131094 DXJ131089:DXJ131094 EHF131089:EHF131094 ERB131089:ERB131094 FAX131089:FAX131094 FKT131089:FKT131094 FUP131089:FUP131094 GEL131089:GEL131094 GOH131089:GOH131094 GYD131089:GYD131094 HHZ131089:HHZ131094 HRV131089:HRV131094 IBR131089:IBR131094 ILN131089:ILN131094 IVJ131089:IVJ131094 JFF131089:JFF131094 JPB131089:JPB131094 JYX131089:JYX131094 KIT131089:KIT131094 KSP131089:KSP131094 LCL131089:LCL131094 LMH131089:LMH131094 LWD131089:LWD131094 MFZ131089:MFZ131094 MPV131089:MPV131094 MZR131089:MZR131094 NJN131089:NJN131094 NTJ131089:NTJ131094 ODF131089:ODF131094 ONB131089:ONB131094 OWX131089:OWX131094 PGT131089:PGT131094 PQP131089:PQP131094 QAL131089:QAL131094 QKH131089:QKH131094 QUD131089:QUD131094 RDZ131089:RDZ131094 RNV131089:RNV131094 RXR131089:RXR131094 SHN131089:SHN131094 SRJ131089:SRJ131094 TBF131089:TBF131094 TLB131089:TLB131094 TUX131089:TUX131094 UET131089:UET131094 UOP131089:UOP131094 UYL131089:UYL131094 VIH131089:VIH131094 VSD131089:VSD131094 WBZ131089:WBZ131094 WLV131089:WLV131094 WVR131089:WVR131094 J196625:J196630 JF196625:JF196630 TB196625:TB196630 ACX196625:ACX196630 AMT196625:AMT196630 AWP196625:AWP196630 BGL196625:BGL196630 BQH196625:BQH196630 CAD196625:CAD196630 CJZ196625:CJZ196630 CTV196625:CTV196630 DDR196625:DDR196630 DNN196625:DNN196630 DXJ196625:DXJ196630 EHF196625:EHF196630 ERB196625:ERB196630 FAX196625:FAX196630 FKT196625:FKT196630 FUP196625:FUP196630 GEL196625:GEL196630 GOH196625:GOH196630 GYD196625:GYD196630 HHZ196625:HHZ196630 HRV196625:HRV196630 IBR196625:IBR196630 ILN196625:ILN196630 IVJ196625:IVJ196630 JFF196625:JFF196630 JPB196625:JPB196630 JYX196625:JYX196630 KIT196625:KIT196630 KSP196625:KSP196630 LCL196625:LCL196630 LMH196625:LMH196630 LWD196625:LWD196630 MFZ196625:MFZ196630 MPV196625:MPV196630 MZR196625:MZR196630 NJN196625:NJN196630 NTJ196625:NTJ196630 ODF196625:ODF196630 ONB196625:ONB196630 OWX196625:OWX196630 PGT196625:PGT196630 PQP196625:PQP196630 QAL196625:QAL196630 QKH196625:QKH196630 QUD196625:QUD196630 RDZ196625:RDZ196630 RNV196625:RNV196630 RXR196625:RXR196630 SHN196625:SHN196630 SRJ196625:SRJ196630 TBF196625:TBF196630 TLB196625:TLB196630 TUX196625:TUX196630 UET196625:UET196630 UOP196625:UOP196630 UYL196625:UYL196630 VIH196625:VIH196630 VSD196625:VSD196630 WBZ196625:WBZ196630 WLV196625:WLV196630 WVR196625:WVR196630 J262161:J262166 JF262161:JF262166 TB262161:TB262166 ACX262161:ACX262166 AMT262161:AMT262166 AWP262161:AWP262166 BGL262161:BGL262166 BQH262161:BQH262166 CAD262161:CAD262166 CJZ262161:CJZ262166 CTV262161:CTV262166 DDR262161:DDR262166 DNN262161:DNN262166 DXJ262161:DXJ262166 EHF262161:EHF262166 ERB262161:ERB262166 FAX262161:FAX262166 FKT262161:FKT262166 FUP262161:FUP262166 GEL262161:GEL262166 GOH262161:GOH262166 GYD262161:GYD262166 HHZ262161:HHZ262166 HRV262161:HRV262166 IBR262161:IBR262166 ILN262161:ILN262166 IVJ262161:IVJ262166 JFF262161:JFF262166 JPB262161:JPB262166 JYX262161:JYX262166 KIT262161:KIT262166 KSP262161:KSP262166 LCL262161:LCL262166 LMH262161:LMH262166 LWD262161:LWD262166 MFZ262161:MFZ262166 MPV262161:MPV262166 MZR262161:MZR262166 NJN262161:NJN262166 NTJ262161:NTJ262166 ODF262161:ODF262166 ONB262161:ONB262166 OWX262161:OWX262166 PGT262161:PGT262166 PQP262161:PQP262166 QAL262161:QAL262166 QKH262161:QKH262166 QUD262161:QUD262166 RDZ262161:RDZ262166 RNV262161:RNV262166 RXR262161:RXR262166 SHN262161:SHN262166 SRJ262161:SRJ262166 TBF262161:TBF262166 TLB262161:TLB262166 TUX262161:TUX262166 UET262161:UET262166 UOP262161:UOP262166 UYL262161:UYL262166 VIH262161:VIH262166 VSD262161:VSD262166 WBZ262161:WBZ262166 WLV262161:WLV262166 WVR262161:WVR262166 J327697:J327702 JF327697:JF327702 TB327697:TB327702 ACX327697:ACX327702 AMT327697:AMT327702 AWP327697:AWP327702 BGL327697:BGL327702 BQH327697:BQH327702 CAD327697:CAD327702 CJZ327697:CJZ327702 CTV327697:CTV327702 DDR327697:DDR327702 DNN327697:DNN327702 DXJ327697:DXJ327702 EHF327697:EHF327702 ERB327697:ERB327702 FAX327697:FAX327702 FKT327697:FKT327702 FUP327697:FUP327702 GEL327697:GEL327702 GOH327697:GOH327702 GYD327697:GYD327702 HHZ327697:HHZ327702 HRV327697:HRV327702 IBR327697:IBR327702 ILN327697:ILN327702 IVJ327697:IVJ327702 JFF327697:JFF327702 JPB327697:JPB327702 JYX327697:JYX327702 KIT327697:KIT327702 KSP327697:KSP327702 LCL327697:LCL327702 LMH327697:LMH327702 LWD327697:LWD327702 MFZ327697:MFZ327702 MPV327697:MPV327702 MZR327697:MZR327702 NJN327697:NJN327702 NTJ327697:NTJ327702 ODF327697:ODF327702 ONB327697:ONB327702 OWX327697:OWX327702 PGT327697:PGT327702 PQP327697:PQP327702 QAL327697:QAL327702 QKH327697:QKH327702 QUD327697:QUD327702 RDZ327697:RDZ327702 RNV327697:RNV327702 RXR327697:RXR327702 SHN327697:SHN327702 SRJ327697:SRJ327702 TBF327697:TBF327702 TLB327697:TLB327702 TUX327697:TUX327702 UET327697:UET327702 UOP327697:UOP327702 UYL327697:UYL327702 VIH327697:VIH327702 VSD327697:VSD327702 WBZ327697:WBZ327702 WLV327697:WLV327702 WVR327697:WVR327702 J393233:J393238 JF393233:JF393238 TB393233:TB393238 ACX393233:ACX393238 AMT393233:AMT393238 AWP393233:AWP393238 BGL393233:BGL393238 BQH393233:BQH393238 CAD393233:CAD393238 CJZ393233:CJZ393238 CTV393233:CTV393238 DDR393233:DDR393238 DNN393233:DNN393238 DXJ393233:DXJ393238 EHF393233:EHF393238 ERB393233:ERB393238 FAX393233:FAX393238 FKT393233:FKT393238 FUP393233:FUP393238 GEL393233:GEL393238 GOH393233:GOH393238 GYD393233:GYD393238 HHZ393233:HHZ393238 HRV393233:HRV393238 IBR393233:IBR393238 ILN393233:ILN393238 IVJ393233:IVJ393238 JFF393233:JFF393238 JPB393233:JPB393238 JYX393233:JYX393238 KIT393233:KIT393238 KSP393233:KSP393238 LCL393233:LCL393238 LMH393233:LMH393238 LWD393233:LWD393238 MFZ393233:MFZ393238 MPV393233:MPV393238 MZR393233:MZR393238 NJN393233:NJN393238 NTJ393233:NTJ393238 ODF393233:ODF393238 ONB393233:ONB393238 OWX393233:OWX393238 PGT393233:PGT393238 PQP393233:PQP393238 QAL393233:QAL393238 QKH393233:QKH393238 QUD393233:QUD393238 RDZ393233:RDZ393238 RNV393233:RNV393238 RXR393233:RXR393238 SHN393233:SHN393238 SRJ393233:SRJ393238 TBF393233:TBF393238 TLB393233:TLB393238 TUX393233:TUX393238 UET393233:UET393238 UOP393233:UOP393238 UYL393233:UYL393238 VIH393233:VIH393238 VSD393233:VSD393238 WBZ393233:WBZ393238 WLV393233:WLV393238 WVR393233:WVR393238 J458769:J458774 JF458769:JF458774 TB458769:TB458774 ACX458769:ACX458774 AMT458769:AMT458774 AWP458769:AWP458774 BGL458769:BGL458774 BQH458769:BQH458774 CAD458769:CAD458774 CJZ458769:CJZ458774 CTV458769:CTV458774 DDR458769:DDR458774 DNN458769:DNN458774 DXJ458769:DXJ458774 EHF458769:EHF458774 ERB458769:ERB458774 FAX458769:FAX458774 FKT458769:FKT458774 FUP458769:FUP458774 GEL458769:GEL458774 GOH458769:GOH458774 GYD458769:GYD458774 HHZ458769:HHZ458774 HRV458769:HRV458774 IBR458769:IBR458774 ILN458769:ILN458774 IVJ458769:IVJ458774 JFF458769:JFF458774 JPB458769:JPB458774 JYX458769:JYX458774 KIT458769:KIT458774 KSP458769:KSP458774 LCL458769:LCL458774 LMH458769:LMH458774 LWD458769:LWD458774 MFZ458769:MFZ458774 MPV458769:MPV458774 MZR458769:MZR458774 NJN458769:NJN458774 NTJ458769:NTJ458774 ODF458769:ODF458774 ONB458769:ONB458774 OWX458769:OWX458774 PGT458769:PGT458774 PQP458769:PQP458774 QAL458769:QAL458774 QKH458769:QKH458774 QUD458769:QUD458774 RDZ458769:RDZ458774 RNV458769:RNV458774 RXR458769:RXR458774 SHN458769:SHN458774 SRJ458769:SRJ458774 TBF458769:TBF458774 TLB458769:TLB458774 TUX458769:TUX458774 UET458769:UET458774 UOP458769:UOP458774 UYL458769:UYL458774 VIH458769:VIH458774 VSD458769:VSD458774 WBZ458769:WBZ458774 WLV458769:WLV458774 WVR458769:WVR458774 J524305:J524310 JF524305:JF524310 TB524305:TB524310 ACX524305:ACX524310 AMT524305:AMT524310 AWP524305:AWP524310 BGL524305:BGL524310 BQH524305:BQH524310 CAD524305:CAD524310 CJZ524305:CJZ524310 CTV524305:CTV524310 DDR524305:DDR524310 DNN524305:DNN524310 DXJ524305:DXJ524310 EHF524305:EHF524310 ERB524305:ERB524310 FAX524305:FAX524310 FKT524305:FKT524310 FUP524305:FUP524310 GEL524305:GEL524310 GOH524305:GOH524310 GYD524305:GYD524310 HHZ524305:HHZ524310 HRV524305:HRV524310 IBR524305:IBR524310 ILN524305:ILN524310 IVJ524305:IVJ524310 JFF524305:JFF524310 JPB524305:JPB524310 JYX524305:JYX524310 KIT524305:KIT524310 KSP524305:KSP524310 LCL524305:LCL524310 LMH524305:LMH524310 LWD524305:LWD524310 MFZ524305:MFZ524310 MPV524305:MPV524310 MZR524305:MZR524310 NJN524305:NJN524310 NTJ524305:NTJ524310 ODF524305:ODF524310 ONB524305:ONB524310 OWX524305:OWX524310 PGT524305:PGT524310 PQP524305:PQP524310 QAL524305:QAL524310 QKH524305:QKH524310 QUD524305:QUD524310 RDZ524305:RDZ524310 RNV524305:RNV524310 RXR524305:RXR524310 SHN524305:SHN524310 SRJ524305:SRJ524310 TBF524305:TBF524310 TLB524305:TLB524310 TUX524305:TUX524310 UET524305:UET524310 UOP524305:UOP524310 UYL524305:UYL524310 VIH524305:VIH524310 VSD524305:VSD524310 WBZ524305:WBZ524310 WLV524305:WLV524310 WVR524305:WVR524310 J589841:J589846 JF589841:JF589846 TB589841:TB589846 ACX589841:ACX589846 AMT589841:AMT589846 AWP589841:AWP589846 BGL589841:BGL589846 BQH589841:BQH589846 CAD589841:CAD589846 CJZ589841:CJZ589846 CTV589841:CTV589846 DDR589841:DDR589846 DNN589841:DNN589846 DXJ589841:DXJ589846 EHF589841:EHF589846 ERB589841:ERB589846 FAX589841:FAX589846 FKT589841:FKT589846 FUP589841:FUP589846 GEL589841:GEL589846 GOH589841:GOH589846 GYD589841:GYD589846 HHZ589841:HHZ589846 HRV589841:HRV589846 IBR589841:IBR589846 ILN589841:ILN589846 IVJ589841:IVJ589846 JFF589841:JFF589846 JPB589841:JPB589846 JYX589841:JYX589846 KIT589841:KIT589846 KSP589841:KSP589846 LCL589841:LCL589846 LMH589841:LMH589846 LWD589841:LWD589846 MFZ589841:MFZ589846 MPV589841:MPV589846 MZR589841:MZR589846 NJN589841:NJN589846 NTJ589841:NTJ589846 ODF589841:ODF589846 ONB589841:ONB589846 OWX589841:OWX589846 PGT589841:PGT589846 PQP589841:PQP589846 QAL589841:QAL589846 QKH589841:QKH589846 QUD589841:QUD589846 RDZ589841:RDZ589846 RNV589841:RNV589846 RXR589841:RXR589846 SHN589841:SHN589846 SRJ589841:SRJ589846 TBF589841:TBF589846 TLB589841:TLB589846 TUX589841:TUX589846 UET589841:UET589846 UOP589841:UOP589846 UYL589841:UYL589846 VIH589841:VIH589846 VSD589841:VSD589846 WBZ589841:WBZ589846 WLV589841:WLV589846 WVR589841:WVR589846 J655377:J655382 JF655377:JF655382 TB655377:TB655382 ACX655377:ACX655382 AMT655377:AMT655382 AWP655377:AWP655382 BGL655377:BGL655382 BQH655377:BQH655382 CAD655377:CAD655382 CJZ655377:CJZ655382 CTV655377:CTV655382 DDR655377:DDR655382 DNN655377:DNN655382 DXJ655377:DXJ655382 EHF655377:EHF655382 ERB655377:ERB655382 FAX655377:FAX655382 FKT655377:FKT655382 FUP655377:FUP655382 GEL655377:GEL655382 GOH655377:GOH655382 GYD655377:GYD655382 HHZ655377:HHZ655382 HRV655377:HRV655382 IBR655377:IBR655382 ILN655377:ILN655382 IVJ655377:IVJ655382 JFF655377:JFF655382 JPB655377:JPB655382 JYX655377:JYX655382 KIT655377:KIT655382 KSP655377:KSP655382 LCL655377:LCL655382 LMH655377:LMH655382 LWD655377:LWD655382 MFZ655377:MFZ655382 MPV655377:MPV655382 MZR655377:MZR655382 NJN655377:NJN655382 NTJ655377:NTJ655382 ODF655377:ODF655382 ONB655377:ONB655382 OWX655377:OWX655382 PGT655377:PGT655382 PQP655377:PQP655382 QAL655377:QAL655382 QKH655377:QKH655382 QUD655377:QUD655382 RDZ655377:RDZ655382 RNV655377:RNV655382 RXR655377:RXR655382 SHN655377:SHN655382 SRJ655377:SRJ655382 TBF655377:TBF655382 TLB655377:TLB655382 TUX655377:TUX655382 UET655377:UET655382 UOP655377:UOP655382 UYL655377:UYL655382 VIH655377:VIH655382 VSD655377:VSD655382 WBZ655377:WBZ655382 WLV655377:WLV655382 WVR655377:WVR655382 J720913:J720918 JF720913:JF720918 TB720913:TB720918 ACX720913:ACX720918 AMT720913:AMT720918 AWP720913:AWP720918 BGL720913:BGL720918 BQH720913:BQH720918 CAD720913:CAD720918 CJZ720913:CJZ720918 CTV720913:CTV720918 DDR720913:DDR720918 DNN720913:DNN720918 DXJ720913:DXJ720918 EHF720913:EHF720918 ERB720913:ERB720918 FAX720913:FAX720918 FKT720913:FKT720918 FUP720913:FUP720918 GEL720913:GEL720918 GOH720913:GOH720918 GYD720913:GYD720918 HHZ720913:HHZ720918 HRV720913:HRV720918 IBR720913:IBR720918 ILN720913:ILN720918 IVJ720913:IVJ720918 JFF720913:JFF720918 JPB720913:JPB720918 JYX720913:JYX720918 KIT720913:KIT720918 KSP720913:KSP720918 LCL720913:LCL720918 LMH720913:LMH720918 LWD720913:LWD720918 MFZ720913:MFZ720918 MPV720913:MPV720918 MZR720913:MZR720918 NJN720913:NJN720918 NTJ720913:NTJ720918 ODF720913:ODF720918 ONB720913:ONB720918 OWX720913:OWX720918 PGT720913:PGT720918 PQP720913:PQP720918 QAL720913:QAL720918 QKH720913:QKH720918 QUD720913:QUD720918 RDZ720913:RDZ720918 RNV720913:RNV720918 RXR720913:RXR720918 SHN720913:SHN720918 SRJ720913:SRJ720918 TBF720913:TBF720918 TLB720913:TLB720918 TUX720913:TUX720918 UET720913:UET720918 UOP720913:UOP720918 UYL720913:UYL720918 VIH720913:VIH720918 VSD720913:VSD720918 WBZ720913:WBZ720918 WLV720913:WLV720918 WVR720913:WVR720918 J786449:J786454 JF786449:JF786454 TB786449:TB786454 ACX786449:ACX786454 AMT786449:AMT786454 AWP786449:AWP786454 BGL786449:BGL786454 BQH786449:BQH786454 CAD786449:CAD786454 CJZ786449:CJZ786454 CTV786449:CTV786454 DDR786449:DDR786454 DNN786449:DNN786454 DXJ786449:DXJ786454 EHF786449:EHF786454 ERB786449:ERB786454 FAX786449:FAX786454 FKT786449:FKT786454 FUP786449:FUP786454 GEL786449:GEL786454 GOH786449:GOH786454 GYD786449:GYD786454 HHZ786449:HHZ786454 HRV786449:HRV786454 IBR786449:IBR786454 ILN786449:ILN786454 IVJ786449:IVJ786454 JFF786449:JFF786454 JPB786449:JPB786454 JYX786449:JYX786454 KIT786449:KIT786454 KSP786449:KSP786454 LCL786449:LCL786454 LMH786449:LMH786454 LWD786449:LWD786454 MFZ786449:MFZ786454 MPV786449:MPV786454 MZR786449:MZR786454 NJN786449:NJN786454 NTJ786449:NTJ786454 ODF786449:ODF786454 ONB786449:ONB786454 OWX786449:OWX786454 PGT786449:PGT786454 PQP786449:PQP786454 QAL786449:QAL786454 QKH786449:QKH786454 QUD786449:QUD786454 RDZ786449:RDZ786454 RNV786449:RNV786454 RXR786449:RXR786454 SHN786449:SHN786454 SRJ786449:SRJ786454 TBF786449:TBF786454 TLB786449:TLB786454 TUX786449:TUX786454 UET786449:UET786454 UOP786449:UOP786454 UYL786449:UYL786454 VIH786449:VIH786454 VSD786449:VSD786454 WBZ786449:WBZ786454 WLV786449:WLV786454 WVR786449:WVR786454 J851985:J851990 JF851985:JF851990 TB851985:TB851990 ACX851985:ACX851990 AMT851985:AMT851990 AWP851985:AWP851990 BGL851985:BGL851990 BQH851985:BQH851990 CAD851985:CAD851990 CJZ851985:CJZ851990 CTV851985:CTV851990 DDR851985:DDR851990 DNN851985:DNN851990 DXJ851985:DXJ851990 EHF851985:EHF851990 ERB851985:ERB851990 FAX851985:FAX851990 FKT851985:FKT851990 FUP851985:FUP851990 GEL851985:GEL851990 GOH851985:GOH851990 GYD851985:GYD851990 HHZ851985:HHZ851990 HRV851985:HRV851990 IBR851985:IBR851990 ILN851985:ILN851990 IVJ851985:IVJ851990 JFF851985:JFF851990 JPB851985:JPB851990 JYX851985:JYX851990 KIT851985:KIT851990 KSP851985:KSP851990 LCL851985:LCL851990 LMH851985:LMH851990 LWD851985:LWD851990 MFZ851985:MFZ851990 MPV851985:MPV851990 MZR851985:MZR851990 NJN851985:NJN851990 NTJ851985:NTJ851990 ODF851985:ODF851990 ONB851985:ONB851990 OWX851985:OWX851990 PGT851985:PGT851990 PQP851985:PQP851990 QAL851985:QAL851990 QKH851985:QKH851990 QUD851985:QUD851990 RDZ851985:RDZ851990 RNV851985:RNV851990 RXR851985:RXR851990 SHN851985:SHN851990 SRJ851985:SRJ851990 TBF851985:TBF851990 TLB851985:TLB851990 TUX851985:TUX851990 UET851985:UET851990 UOP851985:UOP851990 UYL851985:UYL851990 VIH851985:VIH851990 VSD851985:VSD851990 WBZ851985:WBZ851990 WLV851985:WLV851990 WVR851985:WVR851990 J917521:J917526 JF917521:JF917526 TB917521:TB917526 ACX917521:ACX917526 AMT917521:AMT917526 AWP917521:AWP917526 BGL917521:BGL917526 BQH917521:BQH917526 CAD917521:CAD917526 CJZ917521:CJZ917526 CTV917521:CTV917526 DDR917521:DDR917526 DNN917521:DNN917526 DXJ917521:DXJ917526 EHF917521:EHF917526 ERB917521:ERB917526 FAX917521:FAX917526 FKT917521:FKT917526 FUP917521:FUP917526 GEL917521:GEL917526 GOH917521:GOH917526 GYD917521:GYD917526 HHZ917521:HHZ917526 HRV917521:HRV917526 IBR917521:IBR917526 ILN917521:ILN917526 IVJ917521:IVJ917526 JFF917521:JFF917526 JPB917521:JPB917526 JYX917521:JYX917526 KIT917521:KIT917526 KSP917521:KSP917526 LCL917521:LCL917526 LMH917521:LMH917526 LWD917521:LWD917526 MFZ917521:MFZ917526 MPV917521:MPV917526 MZR917521:MZR917526 NJN917521:NJN917526 NTJ917521:NTJ917526 ODF917521:ODF917526 ONB917521:ONB917526 OWX917521:OWX917526 PGT917521:PGT917526 PQP917521:PQP917526 QAL917521:QAL917526 QKH917521:QKH917526 QUD917521:QUD917526 RDZ917521:RDZ917526 RNV917521:RNV917526 RXR917521:RXR917526 SHN917521:SHN917526 SRJ917521:SRJ917526 TBF917521:TBF917526 TLB917521:TLB917526 TUX917521:TUX917526 UET917521:UET917526 UOP917521:UOP917526 UYL917521:UYL917526 VIH917521:VIH917526 VSD917521:VSD917526 WBZ917521:WBZ917526 WLV917521:WLV917526 WVR917521:WVR917526 J983057:J983062 JF983057:JF983062 TB983057:TB983062 ACX983057:ACX983062 AMT983057:AMT983062 AWP983057:AWP983062 BGL983057:BGL983062 BQH983057:BQH983062 CAD983057:CAD983062 CJZ983057:CJZ983062 CTV983057:CTV983062 DDR983057:DDR983062 DNN983057:DNN983062 DXJ983057:DXJ983062 EHF983057:EHF983062 ERB983057:ERB983062 FAX983057:FAX983062 FKT983057:FKT983062 FUP983057:FUP983062 GEL983057:GEL983062 GOH983057:GOH983062 GYD983057:GYD983062 HHZ983057:HHZ983062 HRV983057:HRV983062 IBR983057:IBR983062 ILN983057:ILN983062 IVJ983057:IVJ983062 JFF983057:JFF983062 JPB983057:JPB983062 JYX983057:JYX983062 KIT983057:KIT983062 KSP983057:KSP983062 LCL983057:LCL983062 LMH983057:LMH983062 LWD983057:LWD983062 MFZ983057:MFZ983062 MPV983057:MPV983062 MZR983057:MZR983062 NJN983057:NJN983062 NTJ983057:NTJ983062 ODF983057:ODF983062 ONB983057:ONB983062 OWX983057:OWX983062 PGT983057:PGT983062 PQP983057:PQP983062 QAL983057:QAL983062 QKH983057:QKH983062 QUD983057:QUD983062 RDZ983057:RDZ983062 RNV983057:RNV983062 RXR983057:RXR983062 SHN983057:SHN983062 SRJ983057:SRJ983062 TBF983057:TBF983062 TLB983057:TLB983062 TUX983057:TUX983062 UET983057:UET983062 UOP983057:UOP983062 UYL983057:UYL983062 VIH983057:VIH983062 VSD983057:VSD983062 WBZ983057:WBZ983062 WLV983057:WLV983062 WVR983057:WVR983062">
      <formula1>0</formula1>
      <formula2>1</formula2>
    </dataValidation>
    <dataValidation type="decimal" allowBlank="1" showErrorMessage="1" errorTitle="Erro de valores" error="Digite um valor maior do que 0." sqref="J24 JF24 TB24 ACX24 AMT24 AWP24 BGL24 BQH24 CAD24 CJZ24 CTV24 DDR24 DNN24 DXJ24 EHF24 ERB24 FAX24 FKT24 FUP24 GEL24 GOH24 GYD24 HHZ24 HRV24 IBR24 ILN24 IVJ24 JFF24 JPB24 JYX24 KIT24 KSP24 LCL24 LMH24 LWD24 MFZ24 MPV24 MZR24 NJN24 NTJ24 ODF24 ONB24 OWX24 PGT24 PQP24 QAL24 QKH24 QUD24 RDZ24 RNV24 RXR24 SHN24 SRJ24 TBF24 TLB24 TUX24 UET24 UOP24 UYL24 VIH24 VSD24 WBZ24 WLV24 WVR24 J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J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J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J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J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J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J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J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J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J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J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J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J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J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J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formula1>0</formula1>
      <formula2>1</formula2>
    </dataValidation>
    <dataValidation operator="greaterThanOrEqual" allowBlank="1" showErrorMessage="1" errorTitle="Erro de valores" error="Digite um valor igual a 0% ou 2%." sqref="J25 JF25 TB25 ACX25 AMT25 AWP25 BGL25 BQH25 CAD25 CJZ25 CTV25 DDR25 DNN25 DXJ25 EHF25 ERB25 FAX25 FKT25 FUP25 GEL25 GOH25 GYD25 HHZ25 HRV25 IBR25 ILN25 IVJ25 JFF25 JPB25 JYX25 KIT25 KSP25 LCL25 LMH25 LWD25 MFZ25 MPV25 MZR25 NJN25 NTJ25 ODF25 ONB25 OWX25 PGT25 PQP25 QAL25 QKH25 QUD25 RDZ25 RNV25 RXR25 SHN25 SRJ25 TBF25 TLB25 TUX25 UET25 UOP25 UYL25 VIH25 VSD25 WBZ25 WLV25 WVR25 J65560 JF65560 TB65560 ACX65560 AMT65560 AWP65560 BGL65560 BQH65560 CAD65560 CJZ65560 CTV65560 DDR65560 DNN65560 DXJ65560 EHF65560 ERB65560 FAX65560 FKT65560 FUP65560 GEL65560 GOH65560 GYD65560 HHZ65560 HRV65560 IBR65560 ILN65560 IVJ65560 JFF65560 JPB65560 JYX65560 KIT65560 KSP65560 LCL65560 LMH65560 LWD65560 MFZ65560 MPV65560 MZR65560 NJN65560 NTJ65560 ODF65560 ONB65560 OWX65560 PGT65560 PQP65560 QAL65560 QKH65560 QUD65560 RDZ65560 RNV65560 RXR65560 SHN65560 SRJ65560 TBF65560 TLB65560 TUX65560 UET65560 UOP65560 UYL65560 VIH65560 VSD65560 WBZ65560 WLV65560 WVR65560 J131096 JF131096 TB131096 ACX131096 AMT131096 AWP131096 BGL131096 BQH131096 CAD131096 CJZ131096 CTV131096 DDR131096 DNN131096 DXJ131096 EHF131096 ERB131096 FAX131096 FKT131096 FUP131096 GEL131096 GOH131096 GYD131096 HHZ131096 HRV131096 IBR131096 ILN131096 IVJ131096 JFF131096 JPB131096 JYX131096 KIT131096 KSP131096 LCL131096 LMH131096 LWD131096 MFZ131096 MPV131096 MZR131096 NJN131096 NTJ131096 ODF131096 ONB131096 OWX131096 PGT131096 PQP131096 QAL131096 QKH131096 QUD131096 RDZ131096 RNV131096 RXR131096 SHN131096 SRJ131096 TBF131096 TLB131096 TUX131096 UET131096 UOP131096 UYL131096 VIH131096 VSD131096 WBZ131096 WLV131096 WVR131096 J196632 JF196632 TB196632 ACX196632 AMT196632 AWP196632 BGL196632 BQH196632 CAD196632 CJZ196632 CTV196632 DDR196632 DNN196632 DXJ196632 EHF196632 ERB196632 FAX196632 FKT196632 FUP196632 GEL196632 GOH196632 GYD196632 HHZ196632 HRV196632 IBR196632 ILN196632 IVJ196632 JFF196632 JPB196632 JYX196632 KIT196632 KSP196632 LCL196632 LMH196632 LWD196632 MFZ196632 MPV196632 MZR196632 NJN196632 NTJ196632 ODF196632 ONB196632 OWX196632 PGT196632 PQP196632 QAL196632 QKH196632 QUD196632 RDZ196632 RNV196632 RXR196632 SHN196632 SRJ196632 TBF196632 TLB196632 TUX196632 UET196632 UOP196632 UYL196632 VIH196632 VSD196632 WBZ196632 WLV196632 WVR196632 J262168 JF262168 TB262168 ACX262168 AMT262168 AWP262168 BGL262168 BQH262168 CAD262168 CJZ262168 CTV262168 DDR262168 DNN262168 DXJ262168 EHF262168 ERB262168 FAX262168 FKT262168 FUP262168 GEL262168 GOH262168 GYD262168 HHZ262168 HRV262168 IBR262168 ILN262168 IVJ262168 JFF262168 JPB262168 JYX262168 KIT262168 KSP262168 LCL262168 LMH262168 LWD262168 MFZ262168 MPV262168 MZR262168 NJN262168 NTJ262168 ODF262168 ONB262168 OWX262168 PGT262168 PQP262168 QAL262168 QKH262168 QUD262168 RDZ262168 RNV262168 RXR262168 SHN262168 SRJ262168 TBF262168 TLB262168 TUX262168 UET262168 UOP262168 UYL262168 VIH262168 VSD262168 WBZ262168 WLV262168 WVR262168 J327704 JF327704 TB327704 ACX327704 AMT327704 AWP327704 BGL327704 BQH327704 CAD327704 CJZ327704 CTV327704 DDR327704 DNN327704 DXJ327704 EHF327704 ERB327704 FAX327704 FKT327704 FUP327704 GEL327704 GOH327704 GYD327704 HHZ327704 HRV327704 IBR327704 ILN327704 IVJ327704 JFF327704 JPB327704 JYX327704 KIT327704 KSP327704 LCL327704 LMH327704 LWD327704 MFZ327704 MPV327704 MZR327704 NJN327704 NTJ327704 ODF327704 ONB327704 OWX327704 PGT327704 PQP327704 QAL327704 QKH327704 QUD327704 RDZ327704 RNV327704 RXR327704 SHN327704 SRJ327704 TBF327704 TLB327704 TUX327704 UET327704 UOP327704 UYL327704 VIH327704 VSD327704 WBZ327704 WLV327704 WVR327704 J393240 JF393240 TB393240 ACX393240 AMT393240 AWP393240 BGL393240 BQH393240 CAD393240 CJZ393240 CTV393240 DDR393240 DNN393240 DXJ393240 EHF393240 ERB393240 FAX393240 FKT393240 FUP393240 GEL393240 GOH393240 GYD393240 HHZ393240 HRV393240 IBR393240 ILN393240 IVJ393240 JFF393240 JPB393240 JYX393240 KIT393240 KSP393240 LCL393240 LMH393240 LWD393240 MFZ393240 MPV393240 MZR393240 NJN393240 NTJ393240 ODF393240 ONB393240 OWX393240 PGT393240 PQP393240 QAL393240 QKH393240 QUD393240 RDZ393240 RNV393240 RXR393240 SHN393240 SRJ393240 TBF393240 TLB393240 TUX393240 UET393240 UOP393240 UYL393240 VIH393240 VSD393240 WBZ393240 WLV393240 WVR393240 J458776 JF458776 TB458776 ACX458776 AMT458776 AWP458776 BGL458776 BQH458776 CAD458776 CJZ458776 CTV458776 DDR458776 DNN458776 DXJ458776 EHF458776 ERB458776 FAX458776 FKT458776 FUP458776 GEL458776 GOH458776 GYD458776 HHZ458776 HRV458776 IBR458776 ILN458776 IVJ458776 JFF458776 JPB458776 JYX458776 KIT458776 KSP458776 LCL458776 LMH458776 LWD458776 MFZ458776 MPV458776 MZR458776 NJN458776 NTJ458776 ODF458776 ONB458776 OWX458776 PGT458776 PQP458776 QAL458776 QKH458776 QUD458776 RDZ458776 RNV458776 RXR458776 SHN458776 SRJ458776 TBF458776 TLB458776 TUX458776 UET458776 UOP458776 UYL458776 VIH458776 VSD458776 WBZ458776 WLV458776 WVR458776 J524312 JF524312 TB524312 ACX524312 AMT524312 AWP524312 BGL524312 BQH524312 CAD524312 CJZ524312 CTV524312 DDR524312 DNN524312 DXJ524312 EHF524312 ERB524312 FAX524312 FKT524312 FUP524312 GEL524312 GOH524312 GYD524312 HHZ524312 HRV524312 IBR524312 ILN524312 IVJ524312 JFF524312 JPB524312 JYX524312 KIT524312 KSP524312 LCL524312 LMH524312 LWD524312 MFZ524312 MPV524312 MZR524312 NJN524312 NTJ524312 ODF524312 ONB524312 OWX524312 PGT524312 PQP524312 QAL524312 QKH524312 QUD524312 RDZ524312 RNV524312 RXR524312 SHN524312 SRJ524312 TBF524312 TLB524312 TUX524312 UET524312 UOP524312 UYL524312 VIH524312 VSD524312 WBZ524312 WLV524312 WVR524312 J589848 JF589848 TB589848 ACX589848 AMT589848 AWP589848 BGL589848 BQH589848 CAD589848 CJZ589848 CTV589848 DDR589848 DNN589848 DXJ589848 EHF589848 ERB589848 FAX589848 FKT589848 FUP589848 GEL589848 GOH589848 GYD589848 HHZ589848 HRV589848 IBR589848 ILN589848 IVJ589848 JFF589848 JPB589848 JYX589848 KIT589848 KSP589848 LCL589848 LMH589848 LWD589848 MFZ589848 MPV589848 MZR589848 NJN589848 NTJ589848 ODF589848 ONB589848 OWX589848 PGT589848 PQP589848 QAL589848 QKH589848 QUD589848 RDZ589848 RNV589848 RXR589848 SHN589848 SRJ589848 TBF589848 TLB589848 TUX589848 UET589848 UOP589848 UYL589848 VIH589848 VSD589848 WBZ589848 WLV589848 WVR589848 J655384 JF655384 TB655384 ACX655384 AMT655384 AWP655384 BGL655384 BQH655384 CAD655384 CJZ655384 CTV655384 DDR655384 DNN655384 DXJ655384 EHF655384 ERB655384 FAX655384 FKT655384 FUP655384 GEL655384 GOH655384 GYD655384 HHZ655384 HRV655384 IBR655384 ILN655384 IVJ655384 JFF655384 JPB655384 JYX655384 KIT655384 KSP655384 LCL655384 LMH655384 LWD655384 MFZ655384 MPV655384 MZR655384 NJN655384 NTJ655384 ODF655384 ONB655384 OWX655384 PGT655384 PQP655384 QAL655384 QKH655384 QUD655384 RDZ655384 RNV655384 RXR655384 SHN655384 SRJ655384 TBF655384 TLB655384 TUX655384 UET655384 UOP655384 UYL655384 VIH655384 VSD655384 WBZ655384 WLV655384 WVR655384 J720920 JF720920 TB720920 ACX720920 AMT720920 AWP720920 BGL720920 BQH720920 CAD720920 CJZ720920 CTV720920 DDR720920 DNN720920 DXJ720920 EHF720920 ERB720920 FAX720920 FKT720920 FUP720920 GEL720920 GOH720920 GYD720920 HHZ720920 HRV720920 IBR720920 ILN720920 IVJ720920 JFF720920 JPB720920 JYX720920 KIT720920 KSP720920 LCL720920 LMH720920 LWD720920 MFZ720920 MPV720920 MZR720920 NJN720920 NTJ720920 ODF720920 ONB720920 OWX720920 PGT720920 PQP720920 QAL720920 QKH720920 QUD720920 RDZ720920 RNV720920 RXR720920 SHN720920 SRJ720920 TBF720920 TLB720920 TUX720920 UET720920 UOP720920 UYL720920 VIH720920 VSD720920 WBZ720920 WLV720920 WVR720920 J786456 JF786456 TB786456 ACX786456 AMT786456 AWP786456 BGL786456 BQH786456 CAD786456 CJZ786456 CTV786456 DDR786456 DNN786456 DXJ786456 EHF786456 ERB786456 FAX786456 FKT786456 FUP786456 GEL786456 GOH786456 GYD786456 HHZ786456 HRV786456 IBR786456 ILN786456 IVJ786456 JFF786456 JPB786456 JYX786456 KIT786456 KSP786456 LCL786456 LMH786456 LWD786456 MFZ786456 MPV786456 MZR786456 NJN786456 NTJ786456 ODF786456 ONB786456 OWX786456 PGT786456 PQP786456 QAL786456 QKH786456 QUD786456 RDZ786456 RNV786456 RXR786456 SHN786456 SRJ786456 TBF786456 TLB786456 TUX786456 UET786456 UOP786456 UYL786456 VIH786456 VSD786456 WBZ786456 WLV786456 WVR786456 J851992 JF851992 TB851992 ACX851992 AMT851992 AWP851992 BGL851992 BQH851992 CAD851992 CJZ851992 CTV851992 DDR851992 DNN851992 DXJ851992 EHF851992 ERB851992 FAX851992 FKT851992 FUP851992 GEL851992 GOH851992 GYD851992 HHZ851992 HRV851992 IBR851992 ILN851992 IVJ851992 JFF851992 JPB851992 JYX851992 KIT851992 KSP851992 LCL851992 LMH851992 LWD851992 MFZ851992 MPV851992 MZR851992 NJN851992 NTJ851992 ODF851992 ONB851992 OWX851992 PGT851992 PQP851992 QAL851992 QKH851992 QUD851992 RDZ851992 RNV851992 RXR851992 SHN851992 SRJ851992 TBF851992 TLB851992 TUX851992 UET851992 UOP851992 UYL851992 VIH851992 VSD851992 WBZ851992 WLV851992 WVR851992 J917528 JF917528 TB917528 ACX917528 AMT917528 AWP917528 BGL917528 BQH917528 CAD917528 CJZ917528 CTV917528 DDR917528 DNN917528 DXJ917528 EHF917528 ERB917528 FAX917528 FKT917528 FUP917528 GEL917528 GOH917528 GYD917528 HHZ917528 HRV917528 IBR917528 ILN917528 IVJ917528 JFF917528 JPB917528 JYX917528 KIT917528 KSP917528 LCL917528 LMH917528 LWD917528 MFZ917528 MPV917528 MZR917528 NJN917528 NTJ917528 ODF917528 ONB917528 OWX917528 PGT917528 PQP917528 QAL917528 QKH917528 QUD917528 RDZ917528 RNV917528 RXR917528 SHN917528 SRJ917528 TBF917528 TLB917528 TUX917528 UET917528 UOP917528 UYL917528 VIH917528 VSD917528 WBZ917528 WLV917528 WVR917528 J983064 JF983064 TB983064 ACX983064 AMT983064 AWP983064 BGL983064 BQH983064 CAD983064 CJZ983064 CTV983064 DDR983064 DNN983064 DXJ983064 EHF983064 ERB983064 FAX983064 FKT983064 FUP983064 GEL983064 GOH983064 GYD983064 HHZ983064 HRV983064 IBR983064 ILN983064 IVJ983064 JFF983064 JPB983064 JYX983064 KIT983064 KSP983064 LCL983064 LMH983064 LWD983064 MFZ983064 MPV983064 MZR983064 NJN983064 NTJ983064 ODF983064 ONB983064 OWX983064 PGT983064 PQP983064 QAL983064 QKH983064 QUD983064 RDZ983064 RNV983064 RXR983064 SHN983064 SRJ983064 TBF983064 TLB983064 TUX983064 UET983064 UOP983064 UYL983064 VIH983064 VSD983064 WBZ983064 WLV983064 WVR983064">
      <formula1>0</formula1>
      <formula2>0</formula2>
    </dataValidation>
    <dataValidation type="decimal" operator="greaterThanOrEqual" allowBlank="1" showInputMessage="1" showErrorMessage="1" errorTitle="Valor não permitido" error="Digite um percentual entre 0% e 100%." promptTitle="Valores comuns:" prompt="Normalmente entre 2 e 5%." sqref="I10:J10 JE10:JF10 TA10:TB10 ACW10:ACX10 AMS10:AMT10 AWO10:AWP10 BGK10:BGL10 BQG10:BQH10 CAC10:CAD10 CJY10:CJZ10 CTU10:CTV10 DDQ10:DDR10 DNM10:DNN10 DXI10:DXJ10 EHE10:EHF10 ERA10:ERB10 FAW10:FAX10 FKS10:FKT10 FUO10:FUP10 GEK10:GEL10 GOG10:GOH10 GYC10:GYD10 HHY10:HHZ10 HRU10:HRV10 IBQ10:IBR10 ILM10:ILN10 IVI10:IVJ10 JFE10:JFF10 JPA10:JPB10 JYW10:JYX10 KIS10:KIT10 KSO10:KSP10 LCK10:LCL10 LMG10:LMH10 LWC10:LWD10 MFY10:MFZ10 MPU10:MPV10 MZQ10:MZR10 NJM10:NJN10 NTI10:NTJ10 ODE10:ODF10 ONA10:ONB10 OWW10:OWX10 PGS10:PGT10 PQO10:PQP10 QAK10:QAL10 QKG10:QKH10 QUC10:QUD10 RDY10:RDZ10 RNU10:RNV10 RXQ10:RXR10 SHM10:SHN10 SRI10:SRJ10 TBE10:TBF10 TLA10:TLB10 TUW10:TUX10 UES10:UET10 UOO10:UOP10 UYK10:UYL10 VIG10:VIH10 VSC10:VSD10 WBY10:WBZ10 WLU10:WLV10 WVQ10:WVR10 I65545:J65545 JE65545:JF65545 TA65545:TB65545 ACW65545:ACX65545 AMS65545:AMT65545 AWO65545:AWP65545 BGK65545:BGL65545 BQG65545:BQH65545 CAC65545:CAD65545 CJY65545:CJZ65545 CTU65545:CTV65545 DDQ65545:DDR65545 DNM65545:DNN65545 DXI65545:DXJ65545 EHE65545:EHF65545 ERA65545:ERB65545 FAW65545:FAX65545 FKS65545:FKT65545 FUO65545:FUP65545 GEK65545:GEL65545 GOG65545:GOH65545 GYC65545:GYD65545 HHY65545:HHZ65545 HRU65545:HRV65545 IBQ65545:IBR65545 ILM65545:ILN65545 IVI65545:IVJ65545 JFE65545:JFF65545 JPA65545:JPB65545 JYW65545:JYX65545 KIS65545:KIT65545 KSO65545:KSP65545 LCK65545:LCL65545 LMG65545:LMH65545 LWC65545:LWD65545 MFY65545:MFZ65545 MPU65545:MPV65545 MZQ65545:MZR65545 NJM65545:NJN65545 NTI65545:NTJ65545 ODE65545:ODF65545 ONA65545:ONB65545 OWW65545:OWX65545 PGS65545:PGT65545 PQO65545:PQP65545 QAK65545:QAL65545 QKG65545:QKH65545 QUC65545:QUD65545 RDY65545:RDZ65545 RNU65545:RNV65545 RXQ65545:RXR65545 SHM65545:SHN65545 SRI65545:SRJ65545 TBE65545:TBF65545 TLA65545:TLB65545 TUW65545:TUX65545 UES65545:UET65545 UOO65545:UOP65545 UYK65545:UYL65545 VIG65545:VIH65545 VSC65545:VSD65545 WBY65545:WBZ65545 WLU65545:WLV65545 WVQ65545:WVR65545 I131081:J131081 JE131081:JF131081 TA131081:TB131081 ACW131081:ACX131081 AMS131081:AMT131081 AWO131081:AWP131081 BGK131081:BGL131081 BQG131081:BQH131081 CAC131081:CAD131081 CJY131081:CJZ131081 CTU131081:CTV131081 DDQ131081:DDR131081 DNM131081:DNN131081 DXI131081:DXJ131081 EHE131081:EHF131081 ERA131081:ERB131081 FAW131081:FAX131081 FKS131081:FKT131081 FUO131081:FUP131081 GEK131081:GEL131081 GOG131081:GOH131081 GYC131081:GYD131081 HHY131081:HHZ131081 HRU131081:HRV131081 IBQ131081:IBR131081 ILM131081:ILN131081 IVI131081:IVJ131081 JFE131081:JFF131081 JPA131081:JPB131081 JYW131081:JYX131081 KIS131081:KIT131081 KSO131081:KSP131081 LCK131081:LCL131081 LMG131081:LMH131081 LWC131081:LWD131081 MFY131081:MFZ131081 MPU131081:MPV131081 MZQ131081:MZR131081 NJM131081:NJN131081 NTI131081:NTJ131081 ODE131081:ODF131081 ONA131081:ONB131081 OWW131081:OWX131081 PGS131081:PGT131081 PQO131081:PQP131081 QAK131081:QAL131081 QKG131081:QKH131081 QUC131081:QUD131081 RDY131081:RDZ131081 RNU131081:RNV131081 RXQ131081:RXR131081 SHM131081:SHN131081 SRI131081:SRJ131081 TBE131081:TBF131081 TLA131081:TLB131081 TUW131081:TUX131081 UES131081:UET131081 UOO131081:UOP131081 UYK131081:UYL131081 VIG131081:VIH131081 VSC131081:VSD131081 WBY131081:WBZ131081 WLU131081:WLV131081 WVQ131081:WVR131081 I196617:J196617 JE196617:JF196617 TA196617:TB196617 ACW196617:ACX196617 AMS196617:AMT196617 AWO196617:AWP196617 BGK196617:BGL196617 BQG196617:BQH196617 CAC196617:CAD196617 CJY196617:CJZ196617 CTU196617:CTV196617 DDQ196617:DDR196617 DNM196617:DNN196617 DXI196617:DXJ196617 EHE196617:EHF196617 ERA196617:ERB196617 FAW196617:FAX196617 FKS196617:FKT196617 FUO196617:FUP196617 GEK196617:GEL196617 GOG196617:GOH196617 GYC196617:GYD196617 HHY196617:HHZ196617 HRU196617:HRV196617 IBQ196617:IBR196617 ILM196617:ILN196617 IVI196617:IVJ196617 JFE196617:JFF196617 JPA196617:JPB196617 JYW196617:JYX196617 KIS196617:KIT196617 KSO196617:KSP196617 LCK196617:LCL196617 LMG196617:LMH196617 LWC196617:LWD196617 MFY196617:MFZ196617 MPU196617:MPV196617 MZQ196617:MZR196617 NJM196617:NJN196617 NTI196617:NTJ196617 ODE196617:ODF196617 ONA196617:ONB196617 OWW196617:OWX196617 PGS196617:PGT196617 PQO196617:PQP196617 QAK196617:QAL196617 QKG196617:QKH196617 QUC196617:QUD196617 RDY196617:RDZ196617 RNU196617:RNV196617 RXQ196617:RXR196617 SHM196617:SHN196617 SRI196617:SRJ196617 TBE196617:TBF196617 TLA196617:TLB196617 TUW196617:TUX196617 UES196617:UET196617 UOO196617:UOP196617 UYK196617:UYL196617 VIG196617:VIH196617 VSC196617:VSD196617 WBY196617:WBZ196617 WLU196617:WLV196617 WVQ196617:WVR196617 I262153:J262153 JE262153:JF262153 TA262153:TB262153 ACW262153:ACX262153 AMS262153:AMT262153 AWO262153:AWP262153 BGK262153:BGL262153 BQG262153:BQH262153 CAC262153:CAD262153 CJY262153:CJZ262153 CTU262153:CTV262153 DDQ262153:DDR262153 DNM262153:DNN262153 DXI262153:DXJ262153 EHE262153:EHF262153 ERA262153:ERB262153 FAW262153:FAX262153 FKS262153:FKT262153 FUO262153:FUP262153 GEK262153:GEL262153 GOG262153:GOH262153 GYC262153:GYD262153 HHY262153:HHZ262153 HRU262153:HRV262153 IBQ262153:IBR262153 ILM262153:ILN262153 IVI262153:IVJ262153 JFE262153:JFF262153 JPA262153:JPB262153 JYW262153:JYX262153 KIS262153:KIT262153 KSO262153:KSP262153 LCK262153:LCL262153 LMG262153:LMH262153 LWC262153:LWD262153 MFY262153:MFZ262153 MPU262153:MPV262153 MZQ262153:MZR262153 NJM262153:NJN262153 NTI262153:NTJ262153 ODE262153:ODF262153 ONA262153:ONB262153 OWW262153:OWX262153 PGS262153:PGT262153 PQO262153:PQP262153 QAK262153:QAL262153 QKG262153:QKH262153 QUC262153:QUD262153 RDY262153:RDZ262153 RNU262153:RNV262153 RXQ262153:RXR262153 SHM262153:SHN262153 SRI262153:SRJ262153 TBE262153:TBF262153 TLA262153:TLB262153 TUW262153:TUX262153 UES262153:UET262153 UOO262153:UOP262153 UYK262153:UYL262153 VIG262153:VIH262153 VSC262153:VSD262153 WBY262153:WBZ262153 WLU262153:WLV262153 WVQ262153:WVR262153 I327689:J327689 JE327689:JF327689 TA327689:TB327689 ACW327689:ACX327689 AMS327689:AMT327689 AWO327689:AWP327689 BGK327689:BGL327689 BQG327689:BQH327689 CAC327689:CAD327689 CJY327689:CJZ327689 CTU327689:CTV327689 DDQ327689:DDR327689 DNM327689:DNN327689 DXI327689:DXJ327689 EHE327689:EHF327689 ERA327689:ERB327689 FAW327689:FAX327689 FKS327689:FKT327689 FUO327689:FUP327689 GEK327689:GEL327689 GOG327689:GOH327689 GYC327689:GYD327689 HHY327689:HHZ327689 HRU327689:HRV327689 IBQ327689:IBR327689 ILM327689:ILN327689 IVI327689:IVJ327689 JFE327689:JFF327689 JPA327689:JPB327689 JYW327689:JYX327689 KIS327689:KIT327689 KSO327689:KSP327689 LCK327689:LCL327689 LMG327689:LMH327689 LWC327689:LWD327689 MFY327689:MFZ327689 MPU327689:MPV327689 MZQ327689:MZR327689 NJM327689:NJN327689 NTI327689:NTJ327689 ODE327689:ODF327689 ONA327689:ONB327689 OWW327689:OWX327689 PGS327689:PGT327689 PQO327689:PQP327689 QAK327689:QAL327689 QKG327689:QKH327689 QUC327689:QUD327689 RDY327689:RDZ327689 RNU327689:RNV327689 RXQ327689:RXR327689 SHM327689:SHN327689 SRI327689:SRJ327689 TBE327689:TBF327689 TLA327689:TLB327689 TUW327689:TUX327689 UES327689:UET327689 UOO327689:UOP327689 UYK327689:UYL327689 VIG327689:VIH327689 VSC327689:VSD327689 WBY327689:WBZ327689 WLU327689:WLV327689 WVQ327689:WVR327689 I393225:J393225 JE393225:JF393225 TA393225:TB393225 ACW393225:ACX393225 AMS393225:AMT393225 AWO393225:AWP393225 BGK393225:BGL393225 BQG393225:BQH393225 CAC393225:CAD393225 CJY393225:CJZ393225 CTU393225:CTV393225 DDQ393225:DDR393225 DNM393225:DNN393225 DXI393225:DXJ393225 EHE393225:EHF393225 ERA393225:ERB393225 FAW393225:FAX393225 FKS393225:FKT393225 FUO393225:FUP393225 GEK393225:GEL393225 GOG393225:GOH393225 GYC393225:GYD393225 HHY393225:HHZ393225 HRU393225:HRV393225 IBQ393225:IBR393225 ILM393225:ILN393225 IVI393225:IVJ393225 JFE393225:JFF393225 JPA393225:JPB393225 JYW393225:JYX393225 KIS393225:KIT393225 KSO393225:KSP393225 LCK393225:LCL393225 LMG393225:LMH393225 LWC393225:LWD393225 MFY393225:MFZ393225 MPU393225:MPV393225 MZQ393225:MZR393225 NJM393225:NJN393225 NTI393225:NTJ393225 ODE393225:ODF393225 ONA393225:ONB393225 OWW393225:OWX393225 PGS393225:PGT393225 PQO393225:PQP393225 QAK393225:QAL393225 QKG393225:QKH393225 QUC393225:QUD393225 RDY393225:RDZ393225 RNU393225:RNV393225 RXQ393225:RXR393225 SHM393225:SHN393225 SRI393225:SRJ393225 TBE393225:TBF393225 TLA393225:TLB393225 TUW393225:TUX393225 UES393225:UET393225 UOO393225:UOP393225 UYK393225:UYL393225 VIG393225:VIH393225 VSC393225:VSD393225 WBY393225:WBZ393225 WLU393225:WLV393225 WVQ393225:WVR393225 I458761:J458761 JE458761:JF458761 TA458761:TB458761 ACW458761:ACX458761 AMS458761:AMT458761 AWO458761:AWP458761 BGK458761:BGL458761 BQG458761:BQH458761 CAC458761:CAD458761 CJY458761:CJZ458761 CTU458761:CTV458761 DDQ458761:DDR458761 DNM458761:DNN458761 DXI458761:DXJ458761 EHE458761:EHF458761 ERA458761:ERB458761 FAW458761:FAX458761 FKS458761:FKT458761 FUO458761:FUP458761 GEK458761:GEL458761 GOG458761:GOH458761 GYC458761:GYD458761 HHY458761:HHZ458761 HRU458761:HRV458761 IBQ458761:IBR458761 ILM458761:ILN458761 IVI458761:IVJ458761 JFE458761:JFF458761 JPA458761:JPB458761 JYW458761:JYX458761 KIS458761:KIT458761 KSO458761:KSP458761 LCK458761:LCL458761 LMG458761:LMH458761 LWC458761:LWD458761 MFY458761:MFZ458761 MPU458761:MPV458761 MZQ458761:MZR458761 NJM458761:NJN458761 NTI458761:NTJ458761 ODE458761:ODF458761 ONA458761:ONB458761 OWW458761:OWX458761 PGS458761:PGT458761 PQO458761:PQP458761 QAK458761:QAL458761 QKG458761:QKH458761 QUC458761:QUD458761 RDY458761:RDZ458761 RNU458761:RNV458761 RXQ458761:RXR458761 SHM458761:SHN458761 SRI458761:SRJ458761 TBE458761:TBF458761 TLA458761:TLB458761 TUW458761:TUX458761 UES458761:UET458761 UOO458761:UOP458761 UYK458761:UYL458761 VIG458761:VIH458761 VSC458761:VSD458761 WBY458761:WBZ458761 WLU458761:WLV458761 WVQ458761:WVR458761 I524297:J524297 JE524297:JF524297 TA524297:TB524297 ACW524297:ACX524297 AMS524297:AMT524297 AWO524297:AWP524297 BGK524297:BGL524297 BQG524297:BQH524297 CAC524297:CAD524297 CJY524297:CJZ524297 CTU524297:CTV524297 DDQ524297:DDR524297 DNM524297:DNN524297 DXI524297:DXJ524297 EHE524297:EHF524297 ERA524297:ERB524297 FAW524297:FAX524297 FKS524297:FKT524297 FUO524297:FUP524297 GEK524297:GEL524297 GOG524297:GOH524297 GYC524297:GYD524297 HHY524297:HHZ524297 HRU524297:HRV524297 IBQ524297:IBR524297 ILM524297:ILN524297 IVI524297:IVJ524297 JFE524297:JFF524297 JPA524297:JPB524297 JYW524297:JYX524297 KIS524297:KIT524297 KSO524297:KSP524297 LCK524297:LCL524297 LMG524297:LMH524297 LWC524297:LWD524297 MFY524297:MFZ524297 MPU524297:MPV524297 MZQ524297:MZR524297 NJM524297:NJN524297 NTI524297:NTJ524297 ODE524297:ODF524297 ONA524297:ONB524297 OWW524297:OWX524297 PGS524297:PGT524297 PQO524297:PQP524297 QAK524297:QAL524297 QKG524297:QKH524297 QUC524297:QUD524297 RDY524297:RDZ524297 RNU524297:RNV524297 RXQ524297:RXR524297 SHM524297:SHN524297 SRI524297:SRJ524297 TBE524297:TBF524297 TLA524297:TLB524297 TUW524297:TUX524297 UES524297:UET524297 UOO524297:UOP524297 UYK524297:UYL524297 VIG524297:VIH524297 VSC524297:VSD524297 WBY524297:WBZ524297 WLU524297:WLV524297 WVQ524297:WVR524297 I589833:J589833 JE589833:JF589833 TA589833:TB589833 ACW589833:ACX589833 AMS589833:AMT589833 AWO589833:AWP589833 BGK589833:BGL589833 BQG589833:BQH589833 CAC589833:CAD589833 CJY589833:CJZ589833 CTU589833:CTV589833 DDQ589833:DDR589833 DNM589833:DNN589833 DXI589833:DXJ589833 EHE589833:EHF589833 ERA589833:ERB589833 FAW589833:FAX589833 FKS589833:FKT589833 FUO589833:FUP589833 GEK589833:GEL589833 GOG589833:GOH589833 GYC589833:GYD589833 HHY589833:HHZ589833 HRU589833:HRV589833 IBQ589833:IBR589833 ILM589833:ILN589833 IVI589833:IVJ589833 JFE589833:JFF589833 JPA589833:JPB589833 JYW589833:JYX589833 KIS589833:KIT589833 KSO589833:KSP589833 LCK589833:LCL589833 LMG589833:LMH589833 LWC589833:LWD589833 MFY589833:MFZ589833 MPU589833:MPV589833 MZQ589833:MZR589833 NJM589833:NJN589833 NTI589833:NTJ589833 ODE589833:ODF589833 ONA589833:ONB589833 OWW589833:OWX589833 PGS589833:PGT589833 PQO589833:PQP589833 QAK589833:QAL589833 QKG589833:QKH589833 QUC589833:QUD589833 RDY589833:RDZ589833 RNU589833:RNV589833 RXQ589833:RXR589833 SHM589833:SHN589833 SRI589833:SRJ589833 TBE589833:TBF589833 TLA589833:TLB589833 TUW589833:TUX589833 UES589833:UET589833 UOO589833:UOP589833 UYK589833:UYL589833 VIG589833:VIH589833 VSC589833:VSD589833 WBY589833:WBZ589833 WLU589833:WLV589833 WVQ589833:WVR589833 I655369:J655369 JE655369:JF655369 TA655369:TB655369 ACW655369:ACX655369 AMS655369:AMT655369 AWO655369:AWP655369 BGK655369:BGL655369 BQG655369:BQH655369 CAC655369:CAD655369 CJY655369:CJZ655369 CTU655369:CTV655369 DDQ655369:DDR655369 DNM655369:DNN655369 DXI655369:DXJ655369 EHE655369:EHF655369 ERA655369:ERB655369 FAW655369:FAX655369 FKS655369:FKT655369 FUO655369:FUP655369 GEK655369:GEL655369 GOG655369:GOH655369 GYC655369:GYD655369 HHY655369:HHZ655369 HRU655369:HRV655369 IBQ655369:IBR655369 ILM655369:ILN655369 IVI655369:IVJ655369 JFE655369:JFF655369 JPA655369:JPB655369 JYW655369:JYX655369 KIS655369:KIT655369 KSO655369:KSP655369 LCK655369:LCL655369 LMG655369:LMH655369 LWC655369:LWD655369 MFY655369:MFZ655369 MPU655369:MPV655369 MZQ655369:MZR655369 NJM655369:NJN655369 NTI655369:NTJ655369 ODE655369:ODF655369 ONA655369:ONB655369 OWW655369:OWX655369 PGS655369:PGT655369 PQO655369:PQP655369 QAK655369:QAL655369 QKG655369:QKH655369 QUC655369:QUD655369 RDY655369:RDZ655369 RNU655369:RNV655369 RXQ655369:RXR655369 SHM655369:SHN655369 SRI655369:SRJ655369 TBE655369:TBF655369 TLA655369:TLB655369 TUW655369:TUX655369 UES655369:UET655369 UOO655369:UOP655369 UYK655369:UYL655369 VIG655369:VIH655369 VSC655369:VSD655369 WBY655369:WBZ655369 WLU655369:WLV655369 WVQ655369:WVR655369 I720905:J720905 JE720905:JF720905 TA720905:TB720905 ACW720905:ACX720905 AMS720905:AMT720905 AWO720905:AWP720905 BGK720905:BGL720905 BQG720905:BQH720905 CAC720905:CAD720905 CJY720905:CJZ720905 CTU720905:CTV720905 DDQ720905:DDR720905 DNM720905:DNN720905 DXI720905:DXJ720905 EHE720905:EHF720905 ERA720905:ERB720905 FAW720905:FAX720905 FKS720905:FKT720905 FUO720905:FUP720905 GEK720905:GEL720905 GOG720905:GOH720905 GYC720905:GYD720905 HHY720905:HHZ720905 HRU720905:HRV720905 IBQ720905:IBR720905 ILM720905:ILN720905 IVI720905:IVJ720905 JFE720905:JFF720905 JPA720905:JPB720905 JYW720905:JYX720905 KIS720905:KIT720905 KSO720905:KSP720905 LCK720905:LCL720905 LMG720905:LMH720905 LWC720905:LWD720905 MFY720905:MFZ720905 MPU720905:MPV720905 MZQ720905:MZR720905 NJM720905:NJN720905 NTI720905:NTJ720905 ODE720905:ODF720905 ONA720905:ONB720905 OWW720905:OWX720905 PGS720905:PGT720905 PQO720905:PQP720905 QAK720905:QAL720905 QKG720905:QKH720905 QUC720905:QUD720905 RDY720905:RDZ720905 RNU720905:RNV720905 RXQ720905:RXR720905 SHM720905:SHN720905 SRI720905:SRJ720905 TBE720905:TBF720905 TLA720905:TLB720905 TUW720905:TUX720905 UES720905:UET720905 UOO720905:UOP720905 UYK720905:UYL720905 VIG720905:VIH720905 VSC720905:VSD720905 WBY720905:WBZ720905 WLU720905:WLV720905 WVQ720905:WVR720905 I786441:J786441 JE786441:JF786441 TA786441:TB786441 ACW786441:ACX786441 AMS786441:AMT786441 AWO786441:AWP786441 BGK786441:BGL786441 BQG786441:BQH786441 CAC786441:CAD786441 CJY786441:CJZ786441 CTU786441:CTV786441 DDQ786441:DDR786441 DNM786441:DNN786441 DXI786441:DXJ786441 EHE786441:EHF786441 ERA786441:ERB786441 FAW786441:FAX786441 FKS786441:FKT786441 FUO786441:FUP786441 GEK786441:GEL786441 GOG786441:GOH786441 GYC786441:GYD786441 HHY786441:HHZ786441 HRU786441:HRV786441 IBQ786441:IBR786441 ILM786441:ILN786441 IVI786441:IVJ786441 JFE786441:JFF786441 JPA786441:JPB786441 JYW786441:JYX786441 KIS786441:KIT786441 KSO786441:KSP786441 LCK786441:LCL786441 LMG786441:LMH786441 LWC786441:LWD786441 MFY786441:MFZ786441 MPU786441:MPV786441 MZQ786441:MZR786441 NJM786441:NJN786441 NTI786441:NTJ786441 ODE786441:ODF786441 ONA786441:ONB786441 OWW786441:OWX786441 PGS786441:PGT786441 PQO786441:PQP786441 QAK786441:QAL786441 QKG786441:QKH786441 QUC786441:QUD786441 RDY786441:RDZ786441 RNU786441:RNV786441 RXQ786441:RXR786441 SHM786441:SHN786441 SRI786441:SRJ786441 TBE786441:TBF786441 TLA786441:TLB786441 TUW786441:TUX786441 UES786441:UET786441 UOO786441:UOP786441 UYK786441:UYL786441 VIG786441:VIH786441 VSC786441:VSD786441 WBY786441:WBZ786441 WLU786441:WLV786441 WVQ786441:WVR786441 I851977:J851977 JE851977:JF851977 TA851977:TB851977 ACW851977:ACX851977 AMS851977:AMT851977 AWO851977:AWP851977 BGK851977:BGL851977 BQG851977:BQH851977 CAC851977:CAD851977 CJY851977:CJZ851977 CTU851977:CTV851977 DDQ851977:DDR851977 DNM851977:DNN851977 DXI851977:DXJ851977 EHE851977:EHF851977 ERA851977:ERB851977 FAW851977:FAX851977 FKS851977:FKT851977 FUO851977:FUP851977 GEK851977:GEL851977 GOG851977:GOH851977 GYC851977:GYD851977 HHY851977:HHZ851977 HRU851977:HRV851977 IBQ851977:IBR851977 ILM851977:ILN851977 IVI851977:IVJ851977 JFE851977:JFF851977 JPA851977:JPB851977 JYW851977:JYX851977 KIS851977:KIT851977 KSO851977:KSP851977 LCK851977:LCL851977 LMG851977:LMH851977 LWC851977:LWD851977 MFY851977:MFZ851977 MPU851977:MPV851977 MZQ851977:MZR851977 NJM851977:NJN851977 NTI851977:NTJ851977 ODE851977:ODF851977 ONA851977:ONB851977 OWW851977:OWX851977 PGS851977:PGT851977 PQO851977:PQP851977 QAK851977:QAL851977 QKG851977:QKH851977 QUC851977:QUD851977 RDY851977:RDZ851977 RNU851977:RNV851977 RXQ851977:RXR851977 SHM851977:SHN851977 SRI851977:SRJ851977 TBE851977:TBF851977 TLA851977:TLB851977 TUW851977:TUX851977 UES851977:UET851977 UOO851977:UOP851977 UYK851977:UYL851977 VIG851977:VIH851977 VSC851977:VSD851977 WBY851977:WBZ851977 WLU851977:WLV851977 WVQ851977:WVR851977 I917513:J917513 JE917513:JF917513 TA917513:TB917513 ACW917513:ACX917513 AMS917513:AMT917513 AWO917513:AWP917513 BGK917513:BGL917513 BQG917513:BQH917513 CAC917513:CAD917513 CJY917513:CJZ917513 CTU917513:CTV917513 DDQ917513:DDR917513 DNM917513:DNN917513 DXI917513:DXJ917513 EHE917513:EHF917513 ERA917513:ERB917513 FAW917513:FAX917513 FKS917513:FKT917513 FUO917513:FUP917513 GEK917513:GEL917513 GOG917513:GOH917513 GYC917513:GYD917513 HHY917513:HHZ917513 HRU917513:HRV917513 IBQ917513:IBR917513 ILM917513:ILN917513 IVI917513:IVJ917513 JFE917513:JFF917513 JPA917513:JPB917513 JYW917513:JYX917513 KIS917513:KIT917513 KSO917513:KSP917513 LCK917513:LCL917513 LMG917513:LMH917513 LWC917513:LWD917513 MFY917513:MFZ917513 MPU917513:MPV917513 MZQ917513:MZR917513 NJM917513:NJN917513 NTI917513:NTJ917513 ODE917513:ODF917513 ONA917513:ONB917513 OWW917513:OWX917513 PGS917513:PGT917513 PQO917513:PQP917513 QAK917513:QAL917513 QKG917513:QKH917513 QUC917513:QUD917513 RDY917513:RDZ917513 RNU917513:RNV917513 RXQ917513:RXR917513 SHM917513:SHN917513 SRI917513:SRJ917513 TBE917513:TBF917513 TLA917513:TLB917513 TUW917513:TUX917513 UES917513:UET917513 UOO917513:UOP917513 UYK917513:UYL917513 VIG917513:VIH917513 VSC917513:VSD917513 WBY917513:WBZ917513 WLU917513:WLV917513 WVQ917513:WVR917513 I983049:J983049 JE983049:JF983049 TA983049:TB983049 ACW983049:ACX983049 AMS983049:AMT983049 AWO983049:AWP983049 BGK983049:BGL983049 BQG983049:BQH983049 CAC983049:CAD983049 CJY983049:CJZ983049 CTU983049:CTV983049 DDQ983049:DDR983049 DNM983049:DNN983049 DXI983049:DXJ983049 EHE983049:EHF983049 ERA983049:ERB983049 FAW983049:FAX983049 FKS983049:FKT983049 FUO983049:FUP983049 GEK983049:GEL983049 GOG983049:GOH983049 GYC983049:GYD983049 HHY983049:HHZ983049 HRU983049:HRV983049 IBQ983049:IBR983049 ILM983049:ILN983049 IVI983049:IVJ983049 JFE983049:JFF983049 JPA983049:JPB983049 JYW983049:JYX983049 KIS983049:KIT983049 KSO983049:KSP983049 LCK983049:LCL983049 LMG983049:LMH983049 LWC983049:LWD983049 MFY983049:MFZ983049 MPU983049:MPV983049 MZQ983049:MZR983049 NJM983049:NJN983049 NTI983049:NTJ983049 ODE983049:ODF983049 ONA983049:ONB983049 OWW983049:OWX983049 PGS983049:PGT983049 PQO983049:PQP983049 QAK983049:QAL983049 QKG983049:QKH983049 QUC983049:QUD983049 RDY983049:RDZ983049 RNU983049:RNV983049 RXQ983049:RXR983049 SHM983049:SHN983049 SRI983049:SRJ983049 TBE983049:TBF983049 TLA983049:TLB983049 TUW983049:TUX983049 UES983049:UET983049 UOO983049:UOP983049 UYK983049:UYL983049 VIG983049:VIH983049 VSC983049:VSD983049 WBY983049:WBZ983049 WLU983049:WLV983049 WVQ983049:WVR983049">
      <formula1>0</formula1>
      <formula2>0</formula2>
    </dataValidation>
    <dataValidation type="decimal" allowBlank="1" showInputMessage="1" showErrorMessage="1" errorTitle="Valor não permitido" error="Digite um percentual entre 0% e 100%." promptTitle="Valores admissíveis:" prompt="Insira valores entre 0 e 100%." sqref="I9:J9 JE9:JF9 TA9:TB9 ACW9:ACX9 AMS9:AMT9 AWO9:AWP9 BGK9:BGL9 BQG9:BQH9 CAC9:CAD9 CJY9:CJZ9 CTU9:CTV9 DDQ9:DDR9 DNM9:DNN9 DXI9:DXJ9 EHE9:EHF9 ERA9:ERB9 FAW9:FAX9 FKS9:FKT9 FUO9:FUP9 GEK9:GEL9 GOG9:GOH9 GYC9:GYD9 HHY9:HHZ9 HRU9:HRV9 IBQ9:IBR9 ILM9:ILN9 IVI9:IVJ9 JFE9:JFF9 JPA9:JPB9 JYW9:JYX9 KIS9:KIT9 KSO9:KSP9 LCK9:LCL9 LMG9:LMH9 LWC9:LWD9 MFY9:MFZ9 MPU9:MPV9 MZQ9:MZR9 NJM9:NJN9 NTI9:NTJ9 ODE9:ODF9 ONA9:ONB9 OWW9:OWX9 PGS9:PGT9 PQO9:PQP9 QAK9:QAL9 QKG9:QKH9 QUC9:QUD9 RDY9:RDZ9 RNU9:RNV9 RXQ9:RXR9 SHM9:SHN9 SRI9:SRJ9 TBE9:TBF9 TLA9:TLB9 TUW9:TUX9 UES9:UET9 UOO9:UOP9 UYK9:UYL9 VIG9:VIH9 VSC9:VSD9 WBY9:WBZ9 WLU9:WLV9 WVQ9:WVR9 I65544:J65544 JE65544:JF65544 TA65544:TB65544 ACW65544:ACX65544 AMS65544:AMT65544 AWO65544:AWP65544 BGK65544:BGL65544 BQG65544:BQH65544 CAC65544:CAD65544 CJY65544:CJZ65544 CTU65544:CTV65544 DDQ65544:DDR65544 DNM65544:DNN65544 DXI65544:DXJ65544 EHE65544:EHF65544 ERA65544:ERB65544 FAW65544:FAX65544 FKS65544:FKT65544 FUO65544:FUP65544 GEK65544:GEL65544 GOG65544:GOH65544 GYC65544:GYD65544 HHY65544:HHZ65544 HRU65544:HRV65544 IBQ65544:IBR65544 ILM65544:ILN65544 IVI65544:IVJ65544 JFE65544:JFF65544 JPA65544:JPB65544 JYW65544:JYX65544 KIS65544:KIT65544 KSO65544:KSP65544 LCK65544:LCL65544 LMG65544:LMH65544 LWC65544:LWD65544 MFY65544:MFZ65544 MPU65544:MPV65544 MZQ65544:MZR65544 NJM65544:NJN65544 NTI65544:NTJ65544 ODE65544:ODF65544 ONA65544:ONB65544 OWW65544:OWX65544 PGS65544:PGT65544 PQO65544:PQP65544 QAK65544:QAL65544 QKG65544:QKH65544 QUC65544:QUD65544 RDY65544:RDZ65544 RNU65544:RNV65544 RXQ65544:RXR65544 SHM65544:SHN65544 SRI65544:SRJ65544 TBE65544:TBF65544 TLA65544:TLB65544 TUW65544:TUX65544 UES65544:UET65544 UOO65544:UOP65544 UYK65544:UYL65544 VIG65544:VIH65544 VSC65544:VSD65544 WBY65544:WBZ65544 WLU65544:WLV65544 WVQ65544:WVR65544 I131080:J131080 JE131080:JF131080 TA131080:TB131080 ACW131080:ACX131080 AMS131080:AMT131080 AWO131080:AWP131080 BGK131080:BGL131080 BQG131080:BQH131080 CAC131080:CAD131080 CJY131080:CJZ131080 CTU131080:CTV131080 DDQ131080:DDR131080 DNM131080:DNN131080 DXI131080:DXJ131080 EHE131080:EHF131080 ERA131080:ERB131080 FAW131080:FAX131080 FKS131080:FKT131080 FUO131080:FUP131080 GEK131080:GEL131080 GOG131080:GOH131080 GYC131080:GYD131080 HHY131080:HHZ131080 HRU131080:HRV131080 IBQ131080:IBR131080 ILM131080:ILN131080 IVI131080:IVJ131080 JFE131080:JFF131080 JPA131080:JPB131080 JYW131080:JYX131080 KIS131080:KIT131080 KSO131080:KSP131080 LCK131080:LCL131080 LMG131080:LMH131080 LWC131080:LWD131080 MFY131080:MFZ131080 MPU131080:MPV131080 MZQ131080:MZR131080 NJM131080:NJN131080 NTI131080:NTJ131080 ODE131080:ODF131080 ONA131080:ONB131080 OWW131080:OWX131080 PGS131080:PGT131080 PQO131080:PQP131080 QAK131080:QAL131080 QKG131080:QKH131080 QUC131080:QUD131080 RDY131080:RDZ131080 RNU131080:RNV131080 RXQ131080:RXR131080 SHM131080:SHN131080 SRI131080:SRJ131080 TBE131080:TBF131080 TLA131080:TLB131080 TUW131080:TUX131080 UES131080:UET131080 UOO131080:UOP131080 UYK131080:UYL131080 VIG131080:VIH131080 VSC131080:VSD131080 WBY131080:WBZ131080 WLU131080:WLV131080 WVQ131080:WVR131080 I196616:J196616 JE196616:JF196616 TA196616:TB196616 ACW196616:ACX196616 AMS196616:AMT196616 AWO196616:AWP196616 BGK196616:BGL196616 BQG196616:BQH196616 CAC196616:CAD196616 CJY196616:CJZ196616 CTU196616:CTV196616 DDQ196616:DDR196616 DNM196616:DNN196616 DXI196616:DXJ196616 EHE196616:EHF196616 ERA196616:ERB196616 FAW196616:FAX196616 FKS196616:FKT196616 FUO196616:FUP196616 GEK196616:GEL196616 GOG196616:GOH196616 GYC196616:GYD196616 HHY196616:HHZ196616 HRU196616:HRV196616 IBQ196616:IBR196616 ILM196616:ILN196616 IVI196616:IVJ196616 JFE196616:JFF196616 JPA196616:JPB196616 JYW196616:JYX196616 KIS196616:KIT196616 KSO196616:KSP196616 LCK196616:LCL196616 LMG196616:LMH196616 LWC196616:LWD196616 MFY196616:MFZ196616 MPU196616:MPV196616 MZQ196616:MZR196616 NJM196616:NJN196616 NTI196616:NTJ196616 ODE196616:ODF196616 ONA196616:ONB196616 OWW196616:OWX196616 PGS196616:PGT196616 PQO196616:PQP196616 QAK196616:QAL196616 QKG196616:QKH196616 QUC196616:QUD196616 RDY196616:RDZ196616 RNU196616:RNV196616 RXQ196616:RXR196616 SHM196616:SHN196616 SRI196616:SRJ196616 TBE196616:TBF196616 TLA196616:TLB196616 TUW196616:TUX196616 UES196616:UET196616 UOO196616:UOP196616 UYK196616:UYL196616 VIG196616:VIH196616 VSC196616:VSD196616 WBY196616:WBZ196616 WLU196616:WLV196616 WVQ196616:WVR196616 I262152:J262152 JE262152:JF262152 TA262152:TB262152 ACW262152:ACX262152 AMS262152:AMT262152 AWO262152:AWP262152 BGK262152:BGL262152 BQG262152:BQH262152 CAC262152:CAD262152 CJY262152:CJZ262152 CTU262152:CTV262152 DDQ262152:DDR262152 DNM262152:DNN262152 DXI262152:DXJ262152 EHE262152:EHF262152 ERA262152:ERB262152 FAW262152:FAX262152 FKS262152:FKT262152 FUO262152:FUP262152 GEK262152:GEL262152 GOG262152:GOH262152 GYC262152:GYD262152 HHY262152:HHZ262152 HRU262152:HRV262152 IBQ262152:IBR262152 ILM262152:ILN262152 IVI262152:IVJ262152 JFE262152:JFF262152 JPA262152:JPB262152 JYW262152:JYX262152 KIS262152:KIT262152 KSO262152:KSP262152 LCK262152:LCL262152 LMG262152:LMH262152 LWC262152:LWD262152 MFY262152:MFZ262152 MPU262152:MPV262152 MZQ262152:MZR262152 NJM262152:NJN262152 NTI262152:NTJ262152 ODE262152:ODF262152 ONA262152:ONB262152 OWW262152:OWX262152 PGS262152:PGT262152 PQO262152:PQP262152 QAK262152:QAL262152 QKG262152:QKH262152 QUC262152:QUD262152 RDY262152:RDZ262152 RNU262152:RNV262152 RXQ262152:RXR262152 SHM262152:SHN262152 SRI262152:SRJ262152 TBE262152:TBF262152 TLA262152:TLB262152 TUW262152:TUX262152 UES262152:UET262152 UOO262152:UOP262152 UYK262152:UYL262152 VIG262152:VIH262152 VSC262152:VSD262152 WBY262152:WBZ262152 WLU262152:WLV262152 WVQ262152:WVR262152 I327688:J327688 JE327688:JF327688 TA327688:TB327688 ACW327688:ACX327688 AMS327688:AMT327688 AWO327688:AWP327688 BGK327688:BGL327688 BQG327688:BQH327688 CAC327688:CAD327688 CJY327688:CJZ327688 CTU327688:CTV327688 DDQ327688:DDR327688 DNM327688:DNN327688 DXI327688:DXJ327688 EHE327688:EHF327688 ERA327688:ERB327688 FAW327688:FAX327688 FKS327688:FKT327688 FUO327688:FUP327688 GEK327688:GEL327688 GOG327688:GOH327688 GYC327688:GYD327688 HHY327688:HHZ327688 HRU327688:HRV327688 IBQ327688:IBR327688 ILM327688:ILN327688 IVI327688:IVJ327688 JFE327688:JFF327688 JPA327688:JPB327688 JYW327688:JYX327688 KIS327688:KIT327688 KSO327688:KSP327688 LCK327688:LCL327688 LMG327688:LMH327688 LWC327688:LWD327688 MFY327688:MFZ327688 MPU327688:MPV327688 MZQ327688:MZR327688 NJM327688:NJN327688 NTI327688:NTJ327688 ODE327688:ODF327688 ONA327688:ONB327688 OWW327688:OWX327688 PGS327688:PGT327688 PQO327688:PQP327688 QAK327688:QAL327688 QKG327688:QKH327688 QUC327688:QUD327688 RDY327688:RDZ327688 RNU327688:RNV327688 RXQ327688:RXR327688 SHM327688:SHN327688 SRI327688:SRJ327688 TBE327688:TBF327688 TLA327688:TLB327688 TUW327688:TUX327688 UES327688:UET327688 UOO327688:UOP327688 UYK327688:UYL327688 VIG327688:VIH327688 VSC327688:VSD327688 WBY327688:WBZ327688 WLU327688:WLV327688 WVQ327688:WVR327688 I393224:J393224 JE393224:JF393224 TA393224:TB393224 ACW393224:ACX393224 AMS393224:AMT393224 AWO393224:AWP393224 BGK393224:BGL393224 BQG393224:BQH393224 CAC393224:CAD393224 CJY393224:CJZ393224 CTU393224:CTV393224 DDQ393224:DDR393224 DNM393224:DNN393224 DXI393224:DXJ393224 EHE393224:EHF393224 ERA393224:ERB393224 FAW393224:FAX393224 FKS393224:FKT393224 FUO393224:FUP393224 GEK393224:GEL393224 GOG393224:GOH393224 GYC393224:GYD393224 HHY393224:HHZ393224 HRU393224:HRV393224 IBQ393224:IBR393224 ILM393224:ILN393224 IVI393224:IVJ393224 JFE393224:JFF393224 JPA393224:JPB393224 JYW393224:JYX393224 KIS393224:KIT393224 KSO393224:KSP393224 LCK393224:LCL393224 LMG393224:LMH393224 LWC393224:LWD393224 MFY393224:MFZ393224 MPU393224:MPV393224 MZQ393224:MZR393224 NJM393224:NJN393224 NTI393224:NTJ393224 ODE393224:ODF393224 ONA393224:ONB393224 OWW393224:OWX393224 PGS393224:PGT393224 PQO393224:PQP393224 QAK393224:QAL393224 QKG393224:QKH393224 QUC393224:QUD393224 RDY393224:RDZ393224 RNU393224:RNV393224 RXQ393224:RXR393224 SHM393224:SHN393224 SRI393224:SRJ393224 TBE393224:TBF393224 TLA393224:TLB393224 TUW393224:TUX393224 UES393224:UET393224 UOO393224:UOP393224 UYK393224:UYL393224 VIG393224:VIH393224 VSC393224:VSD393224 WBY393224:WBZ393224 WLU393224:WLV393224 WVQ393224:WVR393224 I458760:J458760 JE458760:JF458760 TA458760:TB458760 ACW458760:ACX458760 AMS458760:AMT458760 AWO458760:AWP458760 BGK458760:BGL458760 BQG458760:BQH458760 CAC458760:CAD458760 CJY458760:CJZ458760 CTU458760:CTV458760 DDQ458760:DDR458760 DNM458760:DNN458760 DXI458760:DXJ458760 EHE458760:EHF458760 ERA458760:ERB458760 FAW458760:FAX458760 FKS458760:FKT458760 FUO458760:FUP458760 GEK458760:GEL458760 GOG458760:GOH458760 GYC458760:GYD458760 HHY458760:HHZ458760 HRU458760:HRV458760 IBQ458760:IBR458760 ILM458760:ILN458760 IVI458760:IVJ458760 JFE458760:JFF458760 JPA458760:JPB458760 JYW458760:JYX458760 KIS458760:KIT458760 KSO458760:KSP458760 LCK458760:LCL458760 LMG458760:LMH458760 LWC458760:LWD458760 MFY458760:MFZ458760 MPU458760:MPV458760 MZQ458760:MZR458760 NJM458760:NJN458760 NTI458760:NTJ458760 ODE458760:ODF458760 ONA458760:ONB458760 OWW458760:OWX458760 PGS458760:PGT458760 PQO458760:PQP458760 QAK458760:QAL458760 QKG458760:QKH458760 QUC458760:QUD458760 RDY458760:RDZ458760 RNU458760:RNV458760 RXQ458760:RXR458760 SHM458760:SHN458760 SRI458760:SRJ458760 TBE458760:TBF458760 TLA458760:TLB458760 TUW458760:TUX458760 UES458760:UET458760 UOO458760:UOP458760 UYK458760:UYL458760 VIG458760:VIH458760 VSC458760:VSD458760 WBY458760:WBZ458760 WLU458760:WLV458760 WVQ458760:WVR458760 I524296:J524296 JE524296:JF524296 TA524296:TB524296 ACW524296:ACX524296 AMS524296:AMT524296 AWO524296:AWP524296 BGK524296:BGL524296 BQG524296:BQH524296 CAC524296:CAD524296 CJY524296:CJZ524296 CTU524296:CTV524296 DDQ524296:DDR524296 DNM524296:DNN524296 DXI524296:DXJ524296 EHE524296:EHF524296 ERA524296:ERB524296 FAW524296:FAX524296 FKS524296:FKT524296 FUO524296:FUP524296 GEK524296:GEL524296 GOG524296:GOH524296 GYC524296:GYD524296 HHY524296:HHZ524296 HRU524296:HRV524296 IBQ524296:IBR524296 ILM524296:ILN524296 IVI524296:IVJ524296 JFE524296:JFF524296 JPA524296:JPB524296 JYW524296:JYX524296 KIS524296:KIT524296 KSO524296:KSP524296 LCK524296:LCL524296 LMG524296:LMH524296 LWC524296:LWD524296 MFY524296:MFZ524296 MPU524296:MPV524296 MZQ524296:MZR524296 NJM524296:NJN524296 NTI524296:NTJ524296 ODE524296:ODF524296 ONA524296:ONB524296 OWW524296:OWX524296 PGS524296:PGT524296 PQO524296:PQP524296 QAK524296:QAL524296 QKG524296:QKH524296 QUC524296:QUD524296 RDY524296:RDZ524296 RNU524296:RNV524296 RXQ524296:RXR524296 SHM524296:SHN524296 SRI524296:SRJ524296 TBE524296:TBF524296 TLA524296:TLB524296 TUW524296:TUX524296 UES524296:UET524296 UOO524296:UOP524296 UYK524296:UYL524296 VIG524296:VIH524296 VSC524296:VSD524296 WBY524296:WBZ524296 WLU524296:WLV524296 WVQ524296:WVR524296 I589832:J589832 JE589832:JF589832 TA589832:TB589832 ACW589832:ACX589832 AMS589832:AMT589832 AWO589832:AWP589832 BGK589832:BGL589832 BQG589832:BQH589832 CAC589832:CAD589832 CJY589832:CJZ589832 CTU589832:CTV589832 DDQ589832:DDR589832 DNM589832:DNN589832 DXI589832:DXJ589832 EHE589832:EHF589832 ERA589832:ERB589832 FAW589832:FAX589832 FKS589832:FKT589832 FUO589832:FUP589832 GEK589832:GEL589832 GOG589832:GOH589832 GYC589832:GYD589832 HHY589832:HHZ589832 HRU589832:HRV589832 IBQ589832:IBR589832 ILM589832:ILN589832 IVI589832:IVJ589832 JFE589832:JFF589832 JPA589832:JPB589832 JYW589832:JYX589832 KIS589832:KIT589832 KSO589832:KSP589832 LCK589832:LCL589832 LMG589832:LMH589832 LWC589832:LWD589832 MFY589832:MFZ589832 MPU589832:MPV589832 MZQ589832:MZR589832 NJM589832:NJN589832 NTI589832:NTJ589832 ODE589832:ODF589832 ONA589832:ONB589832 OWW589832:OWX589832 PGS589832:PGT589832 PQO589832:PQP589832 QAK589832:QAL589832 QKG589832:QKH589832 QUC589832:QUD589832 RDY589832:RDZ589832 RNU589832:RNV589832 RXQ589832:RXR589832 SHM589832:SHN589832 SRI589832:SRJ589832 TBE589832:TBF589832 TLA589832:TLB589832 TUW589832:TUX589832 UES589832:UET589832 UOO589832:UOP589832 UYK589832:UYL589832 VIG589832:VIH589832 VSC589832:VSD589832 WBY589832:WBZ589832 WLU589832:WLV589832 WVQ589832:WVR589832 I655368:J655368 JE655368:JF655368 TA655368:TB655368 ACW655368:ACX655368 AMS655368:AMT655368 AWO655368:AWP655368 BGK655368:BGL655368 BQG655368:BQH655368 CAC655368:CAD655368 CJY655368:CJZ655368 CTU655368:CTV655368 DDQ655368:DDR655368 DNM655368:DNN655368 DXI655368:DXJ655368 EHE655368:EHF655368 ERA655368:ERB655368 FAW655368:FAX655368 FKS655368:FKT655368 FUO655368:FUP655368 GEK655368:GEL655368 GOG655368:GOH655368 GYC655368:GYD655368 HHY655368:HHZ655368 HRU655368:HRV655368 IBQ655368:IBR655368 ILM655368:ILN655368 IVI655368:IVJ655368 JFE655368:JFF655368 JPA655368:JPB655368 JYW655368:JYX655368 KIS655368:KIT655368 KSO655368:KSP655368 LCK655368:LCL655368 LMG655368:LMH655368 LWC655368:LWD655368 MFY655368:MFZ655368 MPU655368:MPV655368 MZQ655368:MZR655368 NJM655368:NJN655368 NTI655368:NTJ655368 ODE655368:ODF655368 ONA655368:ONB655368 OWW655368:OWX655368 PGS655368:PGT655368 PQO655368:PQP655368 QAK655368:QAL655368 QKG655368:QKH655368 QUC655368:QUD655368 RDY655368:RDZ655368 RNU655368:RNV655368 RXQ655368:RXR655368 SHM655368:SHN655368 SRI655368:SRJ655368 TBE655368:TBF655368 TLA655368:TLB655368 TUW655368:TUX655368 UES655368:UET655368 UOO655368:UOP655368 UYK655368:UYL655368 VIG655368:VIH655368 VSC655368:VSD655368 WBY655368:WBZ655368 WLU655368:WLV655368 WVQ655368:WVR655368 I720904:J720904 JE720904:JF720904 TA720904:TB720904 ACW720904:ACX720904 AMS720904:AMT720904 AWO720904:AWP720904 BGK720904:BGL720904 BQG720904:BQH720904 CAC720904:CAD720904 CJY720904:CJZ720904 CTU720904:CTV720904 DDQ720904:DDR720904 DNM720904:DNN720904 DXI720904:DXJ720904 EHE720904:EHF720904 ERA720904:ERB720904 FAW720904:FAX720904 FKS720904:FKT720904 FUO720904:FUP720904 GEK720904:GEL720904 GOG720904:GOH720904 GYC720904:GYD720904 HHY720904:HHZ720904 HRU720904:HRV720904 IBQ720904:IBR720904 ILM720904:ILN720904 IVI720904:IVJ720904 JFE720904:JFF720904 JPA720904:JPB720904 JYW720904:JYX720904 KIS720904:KIT720904 KSO720904:KSP720904 LCK720904:LCL720904 LMG720904:LMH720904 LWC720904:LWD720904 MFY720904:MFZ720904 MPU720904:MPV720904 MZQ720904:MZR720904 NJM720904:NJN720904 NTI720904:NTJ720904 ODE720904:ODF720904 ONA720904:ONB720904 OWW720904:OWX720904 PGS720904:PGT720904 PQO720904:PQP720904 QAK720904:QAL720904 QKG720904:QKH720904 QUC720904:QUD720904 RDY720904:RDZ720904 RNU720904:RNV720904 RXQ720904:RXR720904 SHM720904:SHN720904 SRI720904:SRJ720904 TBE720904:TBF720904 TLA720904:TLB720904 TUW720904:TUX720904 UES720904:UET720904 UOO720904:UOP720904 UYK720904:UYL720904 VIG720904:VIH720904 VSC720904:VSD720904 WBY720904:WBZ720904 WLU720904:WLV720904 WVQ720904:WVR720904 I786440:J786440 JE786440:JF786440 TA786440:TB786440 ACW786440:ACX786440 AMS786440:AMT786440 AWO786440:AWP786440 BGK786440:BGL786440 BQG786440:BQH786440 CAC786440:CAD786440 CJY786440:CJZ786440 CTU786440:CTV786440 DDQ786440:DDR786440 DNM786440:DNN786440 DXI786440:DXJ786440 EHE786440:EHF786440 ERA786440:ERB786440 FAW786440:FAX786440 FKS786440:FKT786440 FUO786440:FUP786440 GEK786440:GEL786440 GOG786440:GOH786440 GYC786440:GYD786440 HHY786440:HHZ786440 HRU786440:HRV786440 IBQ786440:IBR786440 ILM786440:ILN786440 IVI786440:IVJ786440 JFE786440:JFF786440 JPA786440:JPB786440 JYW786440:JYX786440 KIS786440:KIT786440 KSO786440:KSP786440 LCK786440:LCL786440 LMG786440:LMH786440 LWC786440:LWD786440 MFY786440:MFZ786440 MPU786440:MPV786440 MZQ786440:MZR786440 NJM786440:NJN786440 NTI786440:NTJ786440 ODE786440:ODF786440 ONA786440:ONB786440 OWW786440:OWX786440 PGS786440:PGT786440 PQO786440:PQP786440 QAK786440:QAL786440 QKG786440:QKH786440 QUC786440:QUD786440 RDY786440:RDZ786440 RNU786440:RNV786440 RXQ786440:RXR786440 SHM786440:SHN786440 SRI786440:SRJ786440 TBE786440:TBF786440 TLA786440:TLB786440 TUW786440:TUX786440 UES786440:UET786440 UOO786440:UOP786440 UYK786440:UYL786440 VIG786440:VIH786440 VSC786440:VSD786440 WBY786440:WBZ786440 WLU786440:WLV786440 WVQ786440:WVR786440 I851976:J851976 JE851976:JF851976 TA851976:TB851976 ACW851976:ACX851976 AMS851976:AMT851976 AWO851976:AWP851976 BGK851976:BGL851976 BQG851976:BQH851976 CAC851976:CAD851976 CJY851976:CJZ851976 CTU851976:CTV851976 DDQ851976:DDR851976 DNM851976:DNN851976 DXI851976:DXJ851976 EHE851976:EHF851976 ERA851976:ERB851976 FAW851976:FAX851976 FKS851976:FKT851976 FUO851976:FUP851976 GEK851976:GEL851976 GOG851976:GOH851976 GYC851976:GYD851976 HHY851976:HHZ851976 HRU851976:HRV851976 IBQ851976:IBR851976 ILM851976:ILN851976 IVI851976:IVJ851976 JFE851976:JFF851976 JPA851976:JPB851976 JYW851976:JYX851976 KIS851976:KIT851976 KSO851976:KSP851976 LCK851976:LCL851976 LMG851976:LMH851976 LWC851976:LWD851976 MFY851976:MFZ851976 MPU851976:MPV851976 MZQ851976:MZR851976 NJM851976:NJN851976 NTI851976:NTJ851976 ODE851976:ODF851976 ONA851976:ONB851976 OWW851976:OWX851976 PGS851976:PGT851976 PQO851976:PQP851976 QAK851976:QAL851976 QKG851976:QKH851976 QUC851976:QUD851976 RDY851976:RDZ851976 RNU851976:RNV851976 RXQ851976:RXR851976 SHM851976:SHN851976 SRI851976:SRJ851976 TBE851976:TBF851976 TLA851976:TLB851976 TUW851976:TUX851976 UES851976:UET851976 UOO851976:UOP851976 UYK851976:UYL851976 VIG851976:VIH851976 VSC851976:VSD851976 WBY851976:WBZ851976 WLU851976:WLV851976 WVQ851976:WVR851976 I917512:J917512 JE917512:JF917512 TA917512:TB917512 ACW917512:ACX917512 AMS917512:AMT917512 AWO917512:AWP917512 BGK917512:BGL917512 BQG917512:BQH917512 CAC917512:CAD917512 CJY917512:CJZ917512 CTU917512:CTV917512 DDQ917512:DDR917512 DNM917512:DNN917512 DXI917512:DXJ917512 EHE917512:EHF917512 ERA917512:ERB917512 FAW917512:FAX917512 FKS917512:FKT917512 FUO917512:FUP917512 GEK917512:GEL917512 GOG917512:GOH917512 GYC917512:GYD917512 HHY917512:HHZ917512 HRU917512:HRV917512 IBQ917512:IBR917512 ILM917512:ILN917512 IVI917512:IVJ917512 JFE917512:JFF917512 JPA917512:JPB917512 JYW917512:JYX917512 KIS917512:KIT917512 KSO917512:KSP917512 LCK917512:LCL917512 LMG917512:LMH917512 LWC917512:LWD917512 MFY917512:MFZ917512 MPU917512:MPV917512 MZQ917512:MZR917512 NJM917512:NJN917512 NTI917512:NTJ917512 ODE917512:ODF917512 ONA917512:ONB917512 OWW917512:OWX917512 PGS917512:PGT917512 PQO917512:PQP917512 QAK917512:QAL917512 QKG917512:QKH917512 QUC917512:QUD917512 RDY917512:RDZ917512 RNU917512:RNV917512 RXQ917512:RXR917512 SHM917512:SHN917512 SRI917512:SRJ917512 TBE917512:TBF917512 TLA917512:TLB917512 TUW917512:TUX917512 UES917512:UET917512 UOO917512:UOP917512 UYK917512:UYL917512 VIG917512:VIH917512 VSC917512:VSD917512 WBY917512:WBZ917512 WLU917512:WLV917512 WVQ917512:WVR917512 I983048:J983048 JE983048:JF983048 TA983048:TB983048 ACW983048:ACX983048 AMS983048:AMT983048 AWO983048:AWP983048 BGK983048:BGL983048 BQG983048:BQH983048 CAC983048:CAD983048 CJY983048:CJZ983048 CTU983048:CTV983048 DDQ983048:DDR983048 DNM983048:DNN983048 DXI983048:DXJ983048 EHE983048:EHF983048 ERA983048:ERB983048 FAW983048:FAX983048 FKS983048:FKT983048 FUO983048:FUP983048 GEK983048:GEL983048 GOG983048:GOH983048 GYC983048:GYD983048 HHY983048:HHZ983048 HRU983048:HRV983048 IBQ983048:IBR983048 ILM983048:ILN983048 IVI983048:IVJ983048 JFE983048:JFF983048 JPA983048:JPB983048 JYW983048:JYX983048 KIS983048:KIT983048 KSO983048:KSP983048 LCK983048:LCL983048 LMG983048:LMH983048 LWC983048:LWD983048 MFY983048:MFZ983048 MPU983048:MPV983048 MZQ983048:MZR983048 NJM983048:NJN983048 NTI983048:NTJ983048 ODE983048:ODF983048 ONA983048:ONB983048 OWW983048:OWX983048 PGS983048:PGT983048 PQO983048:PQP983048 QAK983048:QAL983048 QKG983048:QKH983048 QUC983048:QUD983048 RDY983048:RDZ983048 RNU983048:RNV983048 RXQ983048:RXR983048 SHM983048:SHN983048 SRI983048:SRJ983048 TBE983048:TBF983048 TLA983048:TLB983048 TUW983048:TUX983048 UES983048:UET983048 UOO983048:UOP983048 UYK983048:UYL983048 VIG983048:VIH983048 VSC983048:VSD983048 WBY983048:WBZ983048 WLU983048:WLV983048 WVQ983048:WVR983048">
      <formula1>0</formula1>
      <formula2>1</formula2>
    </dataValidation>
  </dataValidations>
  <pageMargins left="0.511811024" right="0.511811024" top="0.78740157499999996" bottom="0.78740157499999996" header="0.31496062000000002" footer="0.31496062000000002"/>
  <pageSetup paperSize="9" scale="56" orientation="portrait"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V26"/>
  <sheetViews>
    <sheetView tabSelected="1" view="pageBreakPreview" topLeftCell="A4" zoomScaleNormal="100" zoomScaleSheetLayoutView="100" workbookViewId="0">
      <selection activeCell="G30" sqref="G30"/>
    </sheetView>
  </sheetViews>
  <sheetFormatPr defaultRowHeight="21" customHeight="1" outlineLevelRow="1" x14ac:dyDescent="0.25"/>
  <cols>
    <col min="1" max="1" width="7.7109375" style="12" customWidth="1"/>
    <col min="2" max="2" width="23.85546875" style="12" customWidth="1"/>
    <col min="3" max="4" width="11.7109375" style="12" customWidth="1"/>
    <col min="5" max="5" width="12.7109375" style="12" customWidth="1"/>
    <col min="6" max="7" width="11.7109375" style="12" customWidth="1"/>
    <col min="8" max="8" width="12.140625" style="12" bestFit="1" customWidth="1"/>
    <col min="9" max="9" width="11.7109375" style="12" customWidth="1"/>
    <col min="10" max="10" width="12.140625" style="12" bestFit="1" customWidth="1"/>
    <col min="11" max="16" width="11.7109375" style="12" customWidth="1"/>
    <col min="17" max="17" width="9.140625" style="12"/>
    <col min="18" max="20" width="12.7109375" style="12" customWidth="1"/>
    <col min="21" max="16384" width="9.140625" style="12"/>
  </cols>
  <sheetData>
    <row r="1" spans="1:22" ht="16.5" customHeight="1" x14ac:dyDescent="0.25">
      <c r="A1" s="153" t="s">
        <v>25</v>
      </c>
      <c r="B1" s="153"/>
      <c r="C1" s="153"/>
      <c r="D1" s="153"/>
      <c r="E1" s="153"/>
      <c r="F1" s="153"/>
      <c r="G1" s="153"/>
      <c r="H1" s="153"/>
      <c r="I1" s="153"/>
      <c r="J1" s="153"/>
      <c r="K1" s="153"/>
      <c r="L1" s="153"/>
      <c r="M1" s="153"/>
      <c r="N1" s="153"/>
      <c r="O1" s="153"/>
      <c r="P1" s="153"/>
      <c r="Q1" s="18"/>
      <c r="R1" s="18"/>
      <c r="S1" s="18"/>
      <c r="T1" s="18"/>
      <c r="U1" s="18"/>
      <c r="V1" s="18"/>
    </row>
    <row r="2" spans="1:22" ht="16.5" customHeight="1" x14ac:dyDescent="0.25">
      <c r="A2" s="153"/>
      <c r="B2" s="153"/>
      <c r="C2" s="153"/>
      <c r="D2" s="153"/>
      <c r="E2" s="153"/>
      <c r="F2" s="153"/>
      <c r="G2" s="153"/>
      <c r="H2" s="153"/>
      <c r="I2" s="153"/>
      <c r="J2" s="153"/>
      <c r="K2" s="153"/>
      <c r="L2" s="153"/>
      <c r="M2" s="153"/>
      <c r="N2" s="153"/>
      <c r="O2" s="153"/>
      <c r="P2" s="153"/>
      <c r="Q2" s="18"/>
      <c r="R2" s="18"/>
      <c r="S2" s="18"/>
      <c r="T2" s="18"/>
      <c r="U2" s="18"/>
      <c r="V2" s="18"/>
    </row>
    <row r="3" spans="1:22" ht="16.5" customHeight="1" x14ac:dyDescent="0.25">
      <c r="A3" s="153"/>
      <c r="B3" s="153"/>
      <c r="C3" s="153"/>
      <c r="D3" s="153"/>
      <c r="E3" s="153"/>
      <c r="F3" s="153"/>
      <c r="G3" s="153"/>
      <c r="H3" s="153"/>
      <c r="I3" s="153"/>
      <c r="J3" s="153"/>
      <c r="K3" s="153"/>
      <c r="L3" s="153"/>
      <c r="M3" s="153"/>
      <c r="N3" s="153"/>
      <c r="O3" s="153"/>
      <c r="P3" s="153"/>
      <c r="Q3" s="18"/>
      <c r="R3" s="18"/>
      <c r="S3" s="18"/>
      <c r="T3" s="18"/>
      <c r="U3" s="18"/>
      <c r="V3" s="18"/>
    </row>
    <row r="4" spans="1:22" ht="20.100000000000001" customHeight="1" x14ac:dyDescent="0.25">
      <c r="A4" s="283" t="str">
        <f>'Plan. Orçamentária'!A4:I4</f>
        <v>OBRA POR EXECUÇÃO INDIRETA</v>
      </c>
      <c r="B4" s="283"/>
      <c r="C4" s="283"/>
      <c r="D4" s="283"/>
      <c r="E4" s="283"/>
      <c r="F4" s="283"/>
      <c r="G4" s="283"/>
      <c r="H4" s="283"/>
      <c r="I4" s="283"/>
      <c r="J4" s="283"/>
      <c r="K4" s="283"/>
      <c r="L4" s="283"/>
      <c r="M4" s="283"/>
      <c r="N4" s="283"/>
      <c r="O4" s="283"/>
      <c r="P4" s="283"/>
      <c r="Q4" s="18"/>
      <c r="R4" s="18"/>
      <c r="S4" s="18"/>
      <c r="T4" s="18"/>
      <c r="U4" s="18"/>
      <c r="V4" s="18"/>
    </row>
    <row r="5" spans="1:22" ht="20.100000000000001" customHeight="1" x14ac:dyDescent="0.25">
      <c r="A5" s="284" t="str">
        <f>'Plan. Orçamentária'!A5:I5</f>
        <v>Setor requisitante: Secretaria Municipal de Obras e Serviços Urbanos</v>
      </c>
      <c r="B5" s="285"/>
      <c r="C5" s="285"/>
      <c r="D5" s="285"/>
      <c r="E5" s="285"/>
      <c r="F5" s="285"/>
      <c r="G5" s="285"/>
      <c r="H5" s="285"/>
      <c r="I5" s="285"/>
      <c r="J5" s="285"/>
      <c r="K5" s="285"/>
      <c r="L5" s="285"/>
      <c r="M5" s="285"/>
      <c r="N5" s="285"/>
      <c r="O5" s="285"/>
      <c r="P5" s="286"/>
      <c r="Q5" s="18"/>
      <c r="R5" s="18"/>
      <c r="S5" s="18"/>
      <c r="T5" s="18"/>
      <c r="U5" s="18"/>
      <c r="V5" s="18"/>
    </row>
    <row r="6" spans="1:22" ht="20.100000000000001" customHeight="1" x14ac:dyDescent="0.25">
      <c r="A6" s="154" t="str">
        <f>'Plan. Orçamentária'!A6:B7</f>
        <v>Objeto:</v>
      </c>
      <c r="B6" s="213" t="str">
        <f>'Plan. Orçamentária'!C6</f>
        <v>LOE 01 - Pavimentação de via em piso de concreto pré-moldado intertravado, tipo Sextavado - Rua Nossa Senhora do Rosário e Rua Artur Vidigal, bairro Santa Maria - Nova Era/MG</v>
      </c>
      <c r="C6" s="213"/>
      <c r="D6" s="213"/>
      <c r="E6" s="213"/>
      <c r="F6" s="213"/>
      <c r="G6" s="213"/>
      <c r="H6" s="213"/>
      <c r="I6" s="213"/>
      <c r="J6" s="213"/>
      <c r="K6" s="213"/>
      <c r="L6" s="213"/>
      <c r="M6" s="213"/>
      <c r="N6" s="156" t="str">
        <f>'Plan. Orçamentária'!G6:G7</f>
        <v>BDI:</v>
      </c>
      <c r="O6" s="214">
        <f>'Plan. Orçamentária'!H6:H7</f>
        <v>0.30380000000000001</v>
      </c>
      <c r="P6" s="215">
        <f ca="1">'Plan. Orçamentária'!I6:I7</f>
        <v>44887</v>
      </c>
      <c r="Q6" s="18"/>
      <c r="R6" s="18"/>
      <c r="S6" s="18"/>
      <c r="T6" s="18"/>
      <c r="U6" s="18"/>
      <c r="V6" s="18"/>
    </row>
    <row r="7" spans="1:22" ht="20.100000000000001" customHeight="1" x14ac:dyDescent="0.25">
      <c r="A7" s="154"/>
      <c r="B7" s="213"/>
      <c r="C7" s="213"/>
      <c r="D7" s="213"/>
      <c r="E7" s="213"/>
      <c r="F7" s="213"/>
      <c r="G7" s="213"/>
      <c r="H7" s="213"/>
      <c r="I7" s="213"/>
      <c r="J7" s="213"/>
      <c r="K7" s="213"/>
      <c r="L7" s="213"/>
      <c r="M7" s="213"/>
      <c r="N7" s="156"/>
      <c r="O7" s="214"/>
      <c r="P7" s="215"/>
      <c r="Q7" s="18"/>
      <c r="R7" s="18"/>
      <c r="S7" s="18"/>
      <c r="T7" s="18"/>
      <c r="U7" s="18"/>
      <c r="V7" s="18"/>
    </row>
    <row r="8" spans="1:22" ht="20.100000000000001" customHeight="1" x14ac:dyDescent="0.25">
      <c r="A8" s="152" t="s">
        <v>49</v>
      </c>
      <c r="B8" s="152"/>
      <c r="C8" s="152"/>
      <c r="D8" s="152"/>
      <c r="E8" s="152"/>
      <c r="F8" s="152"/>
      <c r="G8" s="152"/>
      <c r="H8" s="152"/>
      <c r="I8" s="152"/>
      <c r="J8" s="152"/>
      <c r="K8" s="152"/>
      <c r="L8" s="152"/>
      <c r="M8" s="152"/>
      <c r="N8" s="152"/>
      <c r="O8" s="152"/>
      <c r="P8" s="152"/>
      <c r="Q8" s="18"/>
      <c r="R8" s="18"/>
      <c r="S8" s="18"/>
      <c r="T8" s="18"/>
      <c r="U8" s="18"/>
      <c r="V8" s="18"/>
    </row>
    <row r="9" spans="1:22" ht="20.100000000000001" customHeight="1" x14ac:dyDescent="0.25">
      <c r="A9" s="281" t="s">
        <v>50</v>
      </c>
      <c r="B9" s="282" t="s">
        <v>165</v>
      </c>
      <c r="C9" s="282"/>
      <c r="D9" s="282"/>
      <c r="E9" s="282" t="s">
        <v>51</v>
      </c>
      <c r="F9" s="282" t="s">
        <v>52</v>
      </c>
      <c r="G9" s="282" t="s">
        <v>53</v>
      </c>
      <c r="H9" s="282" t="s">
        <v>54</v>
      </c>
      <c r="I9" s="282" t="s">
        <v>55</v>
      </c>
      <c r="J9" s="282" t="s">
        <v>56</v>
      </c>
      <c r="K9" s="282" t="s">
        <v>57</v>
      </c>
      <c r="L9" s="282" t="s">
        <v>58</v>
      </c>
      <c r="M9" s="282" t="s">
        <v>59</v>
      </c>
      <c r="N9" s="282" t="s">
        <v>60</v>
      </c>
      <c r="O9" s="282" t="s">
        <v>61</v>
      </c>
      <c r="P9" s="281" t="s">
        <v>62</v>
      </c>
      <c r="Q9" s="18"/>
      <c r="R9" s="18"/>
      <c r="S9" s="18"/>
      <c r="T9" s="18"/>
      <c r="U9" s="18"/>
      <c r="V9" s="18"/>
    </row>
    <row r="10" spans="1:22" ht="20.100000000000001" customHeight="1" x14ac:dyDescent="0.25">
      <c r="A10" s="281"/>
      <c r="B10" s="282"/>
      <c r="C10" s="282"/>
      <c r="D10" s="282"/>
      <c r="E10" s="282"/>
      <c r="F10" s="282"/>
      <c r="G10" s="281"/>
      <c r="H10" s="281"/>
      <c r="I10" s="281"/>
      <c r="J10" s="281"/>
      <c r="K10" s="281"/>
      <c r="L10" s="281"/>
      <c r="M10" s="281"/>
      <c r="N10" s="281"/>
      <c r="O10" s="281"/>
      <c r="P10" s="281"/>
      <c r="Q10" s="18"/>
      <c r="R10" s="18"/>
      <c r="S10" s="18"/>
      <c r="T10" s="18"/>
      <c r="U10" s="18"/>
      <c r="V10" s="18"/>
    </row>
    <row r="11" spans="1:22" ht="20.100000000000001" customHeight="1" outlineLevel="1" x14ac:dyDescent="0.25">
      <c r="A11" s="279">
        <f>'Plan. Orçamentária'!A10</f>
        <v>1</v>
      </c>
      <c r="B11" s="280" t="str">
        <f>'Plan. Orçamentária'!D10</f>
        <v>MOBILIZAÇÃO E DESMOBILIZAÇÃO</v>
      </c>
      <c r="C11" s="280"/>
      <c r="D11" s="280"/>
      <c r="E11" s="24" t="s">
        <v>63</v>
      </c>
      <c r="F11" s="25">
        <v>1</v>
      </c>
      <c r="G11" s="25">
        <f>G12/F12</f>
        <v>0.7</v>
      </c>
      <c r="H11" s="25">
        <f>H12/F12</f>
        <v>0</v>
      </c>
      <c r="I11" s="25">
        <f>I12/F12</f>
        <v>0</v>
      </c>
      <c r="J11" s="25">
        <f>J12/F12</f>
        <v>0.3</v>
      </c>
      <c r="K11" s="20"/>
      <c r="L11" s="20"/>
      <c r="M11" s="20"/>
      <c r="N11" s="20"/>
      <c r="O11" s="20"/>
      <c r="P11" s="20"/>
      <c r="Q11" s="18"/>
      <c r="R11" s="57"/>
      <c r="T11" s="58"/>
      <c r="U11" s="18"/>
      <c r="V11" s="18"/>
    </row>
    <row r="12" spans="1:22" ht="20.100000000000001" customHeight="1" outlineLevel="1" x14ac:dyDescent="0.25">
      <c r="A12" s="279"/>
      <c r="B12" s="280"/>
      <c r="C12" s="280"/>
      <c r="D12" s="280"/>
      <c r="E12" s="19" t="s">
        <v>64</v>
      </c>
      <c r="F12" s="5">
        <f>'Plan. Orçamentária'!I11</f>
        <v>5174.91</v>
      </c>
      <c r="G12" s="5">
        <f>'Plan. Orçamentária'!I12*0.7</f>
        <v>3622.44</v>
      </c>
      <c r="H12" s="113"/>
      <c r="I12" s="5"/>
      <c r="J12" s="113">
        <f>'Plan. Orçamentária'!I12*0.3</f>
        <v>1552.47</v>
      </c>
      <c r="K12" s="20"/>
      <c r="L12" s="20"/>
      <c r="M12" s="20"/>
      <c r="N12" s="20"/>
      <c r="O12" s="20"/>
      <c r="P12" s="20"/>
      <c r="Q12" s="18"/>
      <c r="R12" s="55">
        <f>F12</f>
        <v>5174.91</v>
      </c>
      <c r="S12" s="21">
        <f>SUM(G12:J12)</f>
        <v>5174.91</v>
      </c>
      <c r="T12" s="56">
        <f>R12-S12</f>
        <v>0</v>
      </c>
      <c r="U12" s="18"/>
      <c r="V12" s="18"/>
    </row>
    <row r="13" spans="1:22" ht="20.100000000000001" customHeight="1" outlineLevel="1" x14ac:dyDescent="0.25">
      <c r="A13" s="279">
        <f>'Plan. Orçamentária'!A13</f>
        <v>2</v>
      </c>
      <c r="B13" s="280" t="str">
        <f>'Plan. Orçamentária'!D13</f>
        <v>CANTEIRO DE OBRAS</v>
      </c>
      <c r="C13" s="280"/>
      <c r="D13" s="280"/>
      <c r="E13" s="24" t="s">
        <v>63</v>
      </c>
      <c r="F13" s="25">
        <v>1</v>
      </c>
      <c r="G13" s="25">
        <f>G14/F14</f>
        <v>0.25</v>
      </c>
      <c r="H13" s="25">
        <f>H14/F14</f>
        <v>0.25</v>
      </c>
      <c r="I13" s="25">
        <f>I14/F14</f>
        <v>0.25</v>
      </c>
      <c r="J13" s="25">
        <f>J14/F14</f>
        <v>0.25</v>
      </c>
      <c r="K13" s="20"/>
      <c r="L13" s="20"/>
      <c r="M13" s="20"/>
      <c r="N13" s="20"/>
      <c r="O13" s="20"/>
      <c r="P13" s="20"/>
      <c r="Q13" s="18"/>
      <c r="R13" s="57"/>
      <c r="T13" s="56"/>
      <c r="U13" s="18"/>
      <c r="V13" s="18"/>
    </row>
    <row r="14" spans="1:22" ht="20.100000000000001" customHeight="1" outlineLevel="1" x14ac:dyDescent="0.25">
      <c r="A14" s="279"/>
      <c r="B14" s="280"/>
      <c r="C14" s="280"/>
      <c r="D14" s="280"/>
      <c r="E14" s="19" t="s">
        <v>64</v>
      </c>
      <c r="F14" s="5">
        <f>'Plan. Orçamentária'!I19</f>
        <v>10641.97</v>
      </c>
      <c r="G14" s="5">
        <f>'Plan. Orçamentária'!I19/4</f>
        <v>2660.49</v>
      </c>
      <c r="H14" s="5">
        <f>'Plan. Orçamentária'!I19/4</f>
        <v>2660.49</v>
      </c>
      <c r="I14" s="5">
        <f>'Plan. Orçamentária'!I19/4</f>
        <v>2660.49</v>
      </c>
      <c r="J14" s="5">
        <f>'Plan. Orçamentária'!I19/4+0.01</f>
        <v>2660.5</v>
      </c>
      <c r="K14" s="20"/>
      <c r="L14" s="20"/>
      <c r="M14" s="20"/>
      <c r="N14" s="20"/>
      <c r="O14" s="20"/>
      <c r="P14" s="20"/>
      <c r="Q14" s="18"/>
      <c r="R14" s="59">
        <f>F14</f>
        <v>10641.97</v>
      </c>
      <c r="S14" s="60">
        <f>SUM(G14:J14)</f>
        <v>10641.97</v>
      </c>
      <c r="T14" s="61">
        <f>R14-S14</f>
        <v>0</v>
      </c>
      <c r="U14" s="18"/>
      <c r="V14" s="18"/>
    </row>
    <row r="15" spans="1:22" ht="20.100000000000001" customHeight="1" x14ac:dyDescent="0.25">
      <c r="A15" s="279">
        <f>'Plan. Orçamentária'!A20</f>
        <v>3</v>
      </c>
      <c r="B15" s="280" t="str">
        <f>'Plan. Orçamentária'!D20</f>
        <v>ADMINISTRAÇAO LOCAL</v>
      </c>
      <c r="C15" s="280"/>
      <c r="D15" s="280"/>
      <c r="E15" s="24" t="s">
        <v>63</v>
      </c>
      <c r="F15" s="25">
        <v>1</v>
      </c>
      <c r="G15" s="25">
        <f>G16/F16</f>
        <v>0.25</v>
      </c>
      <c r="H15" s="25">
        <f>H16/F16</f>
        <v>0.25</v>
      </c>
      <c r="I15" s="25">
        <f>I16/F16</f>
        <v>0.25</v>
      </c>
      <c r="J15" s="25">
        <f>J16/F16</f>
        <v>0.25</v>
      </c>
      <c r="K15" s="20"/>
      <c r="L15" s="20"/>
      <c r="M15" s="20"/>
      <c r="N15" s="20"/>
      <c r="O15" s="20"/>
      <c r="P15" s="20"/>
      <c r="Q15" s="18"/>
      <c r="R15" s="55"/>
      <c r="S15" s="21"/>
      <c r="T15" s="56"/>
      <c r="U15" s="18"/>
      <c r="V15" s="18"/>
    </row>
    <row r="16" spans="1:22" ht="20.100000000000001" customHeight="1" x14ac:dyDescent="0.25">
      <c r="A16" s="279"/>
      <c r="B16" s="280"/>
      <c r="C16" s="280"/>
      <c r="D16" s="280"/>
      <c r="E16" s="19" t="s">
        <v>64</v>
      </c>
      <c r="F16" s="5">
        <f>'Plan. Orçamentária'!I25</f>
        <v>44694.2</v>
      </c>
      <c r="G16" s="5">
        <f>'Plan. Orçamentária'!I25/4</f>
        <v>11173.55</v>
      </c>
      <c r="H16" s="5">
        <f>'Plan. Orçamentária'!I25/4</f>
        <v>11173.55</v>
      </c>
      <c r="I16" s="5">
        <f>'Plan. Orçamentária'!I25/4</f>
        <v>11173.55</v>
      </c>
      <c r="J16" s="5">
        <f>'Plan. Orçamentária'!I25/4</f>
        <v>11173.55</v>
      </c>
      <c r="K16" s="20"/>
      <c r="L16" s="20"/>
      <c r="M16" s="20"/>
      <c r="N16" s="20"/>
      <c r="O16" s="20"/>
      <c r="P16" s="20"/>
      <c r="Q16" s="18"/>
      <c r="R16" s="55">
        <f>F16</f>
        <v>44694.2</v>
      </c>
      <c r="S16" s="130">
        <f>SUM(G16:J16)</f>
        <v>44694.2</v>
      </c>
      <c r="T16" s="56">
        <f>R16-S16</f>
        <v>0</v>
      </c>
      <c r="U16" s="18"/>
      <c r="V16" s="18"/>
    </row>
    <row r="17" spans="1:22" ht="20.100000000000001" customHeight="1" x14ac:dyDescent="0.25">
      <c r="A17" s="279">
        <f>'Plan. Orçamentária'!A26</f>
        <v>4</v>
      </c>
      <c r="B17" s="280" t="str">
        <f>'Plan. Orçamentária'!D26</f>
        <v>SINALIZAÇÃO</v>
      </c>
      <c r="C17" s="280"/>
      <c r="D17" s="280"/>
      <c r="E17" s="24" t="s">
        <v>63</v>
      </c>
      <c r="F17" s="25">
        <v>1</v>
      </c>
      <c r="G17" s="25">
        <f>G18/F18</f>
        <v>0.25</v>
      </c>
      <c r="H17" s="25">
        <f>H18/F18</f>
        <v>0.25</v>
      </c>
      <c r="I17" s="25">
        <f>I18/F18</f>
        <v>0.25</v>
      </c>
      <c r="J17" s="25">
        <f>J18/F18</f>
        <v>0.25</v>
      </c>
      <c r="K17" s="20"/>
      <c r="L17" s="20"/>
      <c r="M17" s="20"/>
      <c r="N17" s="20"/>
      <c r="O17" s="20"/>
      <c r="P17" s="20"/>
      <c r="Q17" s="18"/>
      <c r="R17" s="55"/>
      <c r="S17" s="21"/>
      <c r="T17" s="56"/>
      <c r="U17" s="18"/>
      <c r="V17" s="18"/>
    </row>
    <row r="18" spans="1:22" ht="20.100000000000001" customHeight="1" x14ac:dyDescent="0.25">
      <c r="A18" s="279"/>
      <c r="B18" s="280"/>
      <c r="C18" s="280"/>
      <c r="D18" s="280"/>
      <c r="E18" s="19" t="s">
        <v>64</v>
      </c>
      <c r="F18" s="5">
        <f>'Plan. Orçamentária'!I29</f>
        <v>1653.37</v>
      </c>
      <c r="G18" s="5">
        <f>'Plan. Orçamentária'!I29/4</f>
        <v>413.34</v>
      </c>
      <c r="H18" s="5">
        <f>'Plan. Orçamentária'!I29/4</f>
        <v>413.34</v>
      </c>
      <c r="I18" s="5">
        <f>'Plan. Orçamentária'!I29/4</f>
        <v>413.34</v>
      </c>
      <c r="J18" s="5">
        <f>'Plan. Orçamentária'!I29/4+0.01</f>
        <v>413.35</v>
      </c>
      <c r="K18" s="20"/>
      <c r="L18" s="20"/>
      <c r="M18" s="20"/>
      <c r="N18" s="20"/>
      <c r="O18" s="20"/>
      <c r="P18" s="20"/>
      <c r="Q18" s="18"/>
      <c r="R18" s="55">
        <f>F18</f>
        <v>1653.37</v>
      </c>
      <c r="S18" s="130">
        <f>SUM(G18:J18)</f>
        <v>1653.37</v>
      </c>
      <c r="T18" s="56">
        <f>R18-S18</f>
        <v>0</v>
      </c>
      <c r="U18" s="18"/>
      <c r="V18" s="18"/>
    </row>
    <row r="19" spans="1:22" ht="20.100000000000001" customHeight="1" x14ac:dyDescent="0.25">
      <c r="A19" s="279">
        <f>'Plan. Orçamentária'!A30</f>
        <v>5</v>
      </c>
      <c r="B19" s="280" t="str">
        <f>'Plan. Orçamentária'!D30</f>
        <v>DRENAGEM PLUVIAL</v>
      </c>
      <c r="C19" s="280"/>
      <c r="D19" s="280"/>
      <c r="E19" s="24" t="s">
        <v>63</v>
      </c>
      <c r="F19" s="25">
        <v>1</v>
      </c>
      <c r="G19" s="25">
        <f>G20/F20</f>
        <v>0.85070000000000001</v>
      </c>
      <c r="H19" s="25">
        <f>H20/F20</f>
        <v>0.14929999999999999</v>
      </c>
      <c r="I19" s="25">
        <f>I20/F20</f>
        <v>0</v>
      </c>
      <c r="J19" s="25">
        <f>J20/F20</f>
        <v>0</v>
      </c>
      <c r="K19" s="20"/>
      <c r="L19" s="20"/>
      <c r="M19" s="20"/>
      <c r="N19" s="20"/>
      <c r="O19" s="20"/>
      <c r="P19" s="20"/>
      <c r="Q19" s="18"/>
      <c r="R19" s="55"/>
      <c r="S19" s="130"/>
      <c r="T19" s="56"/>
      <c r="U19" s="18"/>
      <c r="V19" s="18"/>
    </row>
    <row r="20" spans="1:22" ht="20.100000000000001" customHeight="1" x14ac:dyDescent="0.25">
      <c r="A20" s="279"/>
      <c r="B20" s="280"/>
      <c r="C20" s="280"/>
      <c r="D20" s="280"/>
      <c r="E20" s="19" t="s">
        <v>64</v>
      </c>
      <c r="F20" s="5">
        <f>'Plan. Orçamentária'!I39</f>
        <v>441777.69</v>
      </c>
      <c r="G20" s="5">
        <f>'Plan. Orçamentária'!I31+'Plan. Orçamentária'!I32+'Plan. Orçamentária'!I33+'Plan. Orçamentária'!I34+'Plan. Orçamentária'!I35+'Plan. Orçamentária'!I36</f>
        <v>375798.78</v>
      </c>
      <c r="H20" s="5">
        <f>'Plan. Orçamentária'!I37+'Plan. Orçamentária'!I38</f>
        <v>65978.91</v>
      </c>
      <c r="I20" s="5">
        <f>'Plan. Orçamentária'!K31+'Plan. Orçamentária'!K32+'Plan. Orçamentária'!K33+'Plan. Orçamentária'!K34+'Plan. Orçamentária'!K35+'Plan. Orçamentária'!K36</f>
        <v>0</v>
      </c>
      <c r="J20" s="5">
        <f>'Plan. Orçamentária'!K37+'Plan. Orçamentária'!K38</f>
        <v>0</v>
      </c>
      <c r="K20" s="20"/>
      <c r="L20" s="20"/>
      <c r="M20" s="20"/>
      <c r="N20" s="20"/>
      <c r="O20" s="20"/>
      <c r="P20" s="20"/>
      <c r="Q20" s="18"/>
      <c r="R20" s="55">
        <f>F20</f>
        <v>441777.69</v>
      </c>
      <c r="S20" s="130">
        <f>SUM(G20:J20)</f>
        <v>441777.69</v>
      </c>
      <c r="T20" s="56">
        <f>R20-S20</f>
        <v>0</v>
      </c>
      <c r="U20" s="18"/>
      <c r="V20" s="18"/>
    </row>
    <row r="21" spans="1:22" ht="20.100000000000001" customHeight="1" x14ac:dyDescent="0.25">
      <c r="A21" s="279">
        <f>'Plan. Orçamentária'!A40</f>
        <v>6</v>
      </c>
      <c r="B21" s="280" t="str">
        <f>'Plan. Orçamentária'!D40</f>
        <v>PAVIMENTAÇÃO</v>
      </c>
      <c r="C21" s="280"/>
      <c r="D21" s="280"/>
      <c r="E21" s="24" t="s">
        <v>63</v>
      </c>
      <c r="F21" s="25">
        <v>1</v>
      </c>
      <c r="G21" s="25">
        <f>G22/F22</f>
        <v>0.1817</v>
      </c>
      <c r="H21" s="25">
        <f>H22/F22</f>
        <v>0.27279999999999999</v>
      </c>
      <c r="I21" s="25">
        <f>I22/F22</f>
        <v>0.27279999999999999</v>
      </c>
      <c r="J21" s="25">
        <f>J22/F22</f>
        <v>0.27279999999999999</v>
      </c>
      <c r="K21" s="20"/>
      <c r="L21" s="20"/>
      <c r="M21" s="20"/>
      <c r="N21" s="20"/>
      <c r="O21" s="20"/>
      <c r="P21" s="20"/>
      <c r="Q21" s="18"/>
      <c r="R21" s="55"/>
      <c r="S21" s="130"/>
      <c r="T21" s="56"/>
      <c r="U21" s="18"/>
      <c r="V21" s="18"/>
    </row>
    <row r="22" spans="1:22" ht="20.100000000000001" customHeight="1" x14ac:dyDescent="0.25">
      <c r="A22" s="279"/>
      <c r="B22" s="280"/>
      <c r="C22" s="280"/>
      <c r="D22" s="280"/>
      <c r="E22" s="19" t="s">
        <v>64</v>
      </c>
      <c r="F22" s="5">
        <f>'Plan. Orçamentária'!I55</f>
        <v>1226203.22</v>
      </c>
      <c r="G22" s="5">
        <f>'Plan. Orçamentária'!I41+'Plan. Orçamentária'!I42+'Plan. Orçamentária'!I43+'Plan. Orçamentária'!I44+'Plan. Orçamentária'!I45</f>
        <v>222806.87</v>
      </c>
      <c r="H22" s="5">
        <f>('Plan. Orçamentária'!I46+'Plan. Orçamentária'!I47+'Plan. Orçamentária'!I48+'Plan. Orçamentária'!I49+'Plan. Orçamentária'!I50+'Plan. Orçamentária'!I51+'Plan. Orçamentária'!I52+'Plan. Orçamentária'!I53+'Plan. Orçamentária'!I54)/3</f>
        <v>334465.45</v>
      </c>
      <c r="I22" s="5">
        <f>('Plan. Orçamentária'!I46+'Plan. Orçamentária'!I47+'Plan. Orçamentária'!I48+'Plan. Orçamentária'!I49+'Plan. Orçamentária'!I50+'Plan. Orçamentária'!I51+'Plan. Orçamentária'!I52+'Plan. Orçamentária'!I53+'Plan. Orçamentária'!I54)/3</f>
        <v>334465.45</v>
      </c>
      <c r="J22" s="5">
        <f>('Plan. Orçamentária'!I46+'Plan. Orçamentária'!I47+'Plan. Orçamentária'!I48+'Plan. Orçamentária'!I49+'Plan. Orçamentária'!I50+'Plan. Orçamentária'!I51+'Plan. Orçamentária'!I52+'Plan. Orçamentária'!I53+'Plan. Orçamentária'!I54)/3</f>
        <v>334465.45</v>
      </c>
      <c r="K22" s="20"/>
      <c r="L22" s="20"/>
      <c r="M22" s="20"/>
      <c r="N22" s="20"/>
      <c r="O22" s="20"/>
      <c r="P22" s="20"/>
      <c r="Q22" s="18"/>
      <c r="R22" s="55">
        <f>F22</f>
        <v>1226203.22</v>
      </c>
      <c r="S22" s="130">
        <f>SUM(G22:J22)</f>
        <v>1226203.22</v>
      </c>
      <c r="T22" s="56">
        <f>R22-S22</f>
        <v>0</v>
      </c>
      <c r="U22" s="18"/>
      <c r="V22" s="18"/>
    </row>
    <row r="23" spans="1:22" ht="20.100000000000001" customHeight="1" x14ac:dyDescent="0.25">
      <c r="A23" s="279">
        <f>'Plan. Orçamentária'!A56</f>
        <v>7</v>
      </c>
      <c r="B23" s="280" t="str">
        <f>'Plan. Orçamentária'!D56</f>
        <v>MURO DE CONTENÇÃO</v>
      </c>
      <c r="C23" s="280"/>
      <c r="D23" s="280"/>
      <c r="E23" s="24" t="s">
        <v>63</v>
      </c>
      <c r="F23" s="25">
        <v>1</v>
      </c>
      <c r="G23" s="25">
        <f>G24/F24</f>
        <v>0</v>
      </c>
      <c r="H23" s="25">
        <f>H24/F24</f>
        <v>0.5</v>
      </c>
      <c r="I23" s="25">
        <f>I24/F24</f>
        <v>0.5</v>
      </c>
      <c r="J23" s="25">
        <f>J24/F24</f>
        <v>0</v>
      </c>
      <c r="K23" s="20"/>
      <c r="L23" s="20"/>
      <c r="M23" s="20"/>
      <c r="N23" s="20"/>
      <c r="O23" s="20"/>
      <c r="P23" s="20"/>
      <c r="Q23" s="18"/>
      <c r="R23" s="55"/>
      <c r="S23" s="130"/>
      <c r="T23" s="56"/>
      <c r="U23" s="18"/>
      <c r="V23" s="18"/>
    </row>
    <row r="24" spans="1:22" ht="20.100000000000001" customHeight="1" x14ac:dyDescent="0.25">
      <c r="A24" s="279"/>
      <c r="B24" s="280"/>
      <c r="C24" s="280"/>
      <c r="D24" s="280"/>
      <c r="E24" s="19" t="s">
        <v>64</v>
      </c>
      <c r="F24" s="5">
        <f>'Plan. Orçamentária'!I67</f>
        <v>222768.18</v>
      </c>
      <c r="G24" s="5"/>
      <c r="H24" s="5">
        <f>'Plan. Orçamentária'!I67/2</f>
        <v>111384.09</v>
      </c>
      <c r="I24" s="5">
        <f>'Plan. Orçamentária'!I67/2</f>
        <v>111384.09</v>
      </c>
      <c r="J24" s="5"/>
      <c r="K24" s="20"/>
      <c r="L24" s="20"/>
      <c r="M24" s="20"/>
      <c r="N24" s="20"/>
      <c r="O24" s="20"/>
      <c r="P24" s="20"/>
      <c r="Q24" s="18"/>
      <c r="R24" s="59">
        <f>F24</f>
        <v>222768.18</v>
      </c>
      <c r="S24" s="60">
        <f>SUM(G24:J24)</f>
        <v>222768.18</v>
      </c>
      <c r="T24" s="61">
        <f>R24-S24</f>
        <v>0</v>
      </c>
      <c r="U24" s="18"/>
      <c r="V24" s="18"/>
    </row>
    <row r="25" spans="1:22" ht="20.100000000000001" customHeight="1" x14ac:dyDescent="0.25">
      <c r="A25" s="278" t="s">
        <v>47</v>
      </c>
      <c r="B25" s="278"/>
      <c r="C25" s="278"/>
      <c r="D25" s="278"/>
      <c r="E25" s="22" t="s">
        <v>63</v>
      </c>
      <c r="F25" s="23">
        <f>G25+H25+I25+J25</f>
        <v>1</v>
      </c>
      <c r="G25" s="23">
        <f>G26/$F$26</f>
        <v>0.31569999999999998</v>
      </c>
      <c r="H25" s="23">
        <f>H26/$F$26</f>
        <v>0.26939999999999997</v>
      </c>
      <c r="I25" s="23">
        <f>I26/$F$26</f>
        <v>0.2356</v>
      </c>
      <c r="J25" s="23">
        <f>J26/$F$26-0.0001</f>
        <v>0.17929999999999999</v>
      </c>
      <c r="K25" s="62"/>
      <c r="L25" s="62"/>
      <c r="M25" s="62"/>
      <c r="N25" s="62"/>
      <c r="O25" s="62"/>
      <c r="P25" s="62"/>
      <c r="Q25" s="18"/>
      <c r="R25" s="41">
        <f t="shared" ref="R25:R26" si="0">F25</f>
        <v>1</v>
      </c>
      <c r="S25" s="41">
        <f t="shared" ref="S25" si="1">SUM(G25:O25)</f>
        <v>1</v>
      </c>
      <c r="T25" s="41">
        <f t="shared" ref="T25:T26" si="2">R25-S25</f>
        <v>0</v>
      </c>
      <c r="U25" s="18"/>
      <c r="V25" s="18"/>
    </row>
    <row r="26" spans="1:22" ht="20.100000000000001" customHeight="1" x14ac:dyDescent="0.25">
      <c r="A26" s="278"/>
      <c r="B26" s="278"/>
      <c r="C26" s="278"/>
      <c r="D26" s="278"/>
      <c r="E26" s="22" t="s">
        <v>64</v>
      </c>
      <c r="F26" s="54">
        <f>'Plan. Orçamentária'!I68</f>
        <v>1952913.54</v>
      </c>
      <c r="G26" s="63">
        <f>G12+G14+G16+G18+G20+G22+G24</f>
        <v>616475.47</v>
      </c>
      <c r="H26" s="63">
        <f t="shared" ref="H26:J26" si="3">H12+H14+H16+H18+H20+H22+H24</f>
        <v>526075.82999999996</v>
      </c>
      <c r="I26" s="63">
        <f t="shared" si="3"/>
        <v>460096.92</v>
      </c>
      <c r="J26" s="63">
        <f t="shared" si="3"/>
        <v>350265.32</v>
      </c>
      <c r="K26" s="64"/>
      <c r="L26" s="64"/>
      <c r="M26" s="64"/>
      <c r="N26" s="64"/>
      <c r="O26" s="64"/>
      <c r="P26" s="64"/>
      <c r="Q26" s="18"/>
      <c r="R26" s="21">
        <f t="shared" si="0"/>
        <v>1952913.54</v>
      </c>
      <c r="S26" s="21">
        <f>'Plan. Orçamentária'!I68</f>
        <v>1952913.54</v>
      </c>
      <c r="T26" s="21">
        <f t="shared" si="2"/>
        <v>0</v>
      </c>
      <c r="U26" s="18"/>
      <c r="V26" s="18"/>
    </row>
  </sheetData>
  <mergeCells count="38">
    <mergeCell ref="A1:P3"/>
    <mergeCell ref="A4:P4"/>
    <mergeCell ref="A6:A7"/>
    <mergeCell ref="B6:M7"/>
    <mergeCell ref="N6:N7"/>
    <mergeCell ref="O6:O7"/>
    <mergeCell ref="P6:P7"/>
    <mergeCell ref="A5:P5"/>
    <mergeCell ref="A8:P8"/>
    <mergeCell ref="A9:A10"/>
    <mergeCell ref="B9:D10"/>
    <mergeCell ref="E9:E10"/>
    <mergeCell ref="F9:F10"/>
    <mergeCell ref="G9:G10"/>
    <mergeCell ref="H9:H10"/>
    <mergeCell ref="I9:I10"/>
    <mergeCell ref="J9:J10"/>
    <mergeCell ref="K9:K10"/>
    <mergeCell ref="L9:L10"/>
    <mergeCell ref="M9:M10"/>
    <mergeCell ref="N9:N10"/>
    <mergeCell ref="O9:O10"/>
    <mergeCell ref="P9:P10"/>
    <mergeCell ref="A25:D26"/>
    <mergeCell ref="A11:A12"/>
    <mergeCell ref="B11:D12"/>
    <mergeCell ref="A13:A14"/>
    <mergeCell ref="B13:D14"/>
    <mergeCell ref="A15:A16"/>
    <mergeCell ref="B15:D16"/>
    <mergeCell ref="A17:A18"/>
    <mergeCell ref="B17:D18"/>
    <mergeCell ref="A19:A20"/>
    <mergeCell ref="B19:D20"/>
    <mergeCell ref="A21:A22"/>
    <mergeCell ref="B21:D22"/>
    <mergeCell ref="A23:A24"/>
    <mergeCell ref="B23:D24"/>
  </mergeCells>
  <pageMargins left="0.19685039370078741" right="0.19685039370078741" top="0.19685039370078741" bottom="1.1811023622047245" header="0.31496062992125984" footer="0.31496062992125984"/>
  <pageSetup paperSize="9" scale="72" fitToHeight="0" orientation="landscape" verticalDpi="4294967295" r:id="rId1"/>
  <headerFooter>
    <oddFooter>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10</vt:i4>
      </vt:variant>
    </vt:vector>
  </HeadingPairs>
  <TitlesOfParts>
    <vt:vector size="16" baseType="lpstr">
      <vt:lpstr>Plan. Orçamentária</vt:lpstr>
      <vt:lpstr>Mem. Cálc. - P.O</vt:lpstr>
      <vt:lpstr>C.P.U.</vt:lpstr>
      <vt:lpstr>Memória de Cálculo - Composição</vt:lpstr>
      <vt:lpstr>BDI</vt:lpstr>
      <vt:lpstr>Cronograma Fis-Fin</vt:lpstr>
      <vt:lpstr>BDI!Area_de_impressao</vt:lpstr>
      <vt:lpstr>C.P.U.!Area_de_impressao</vt:lpstr>
      <vt:lpstr>'Cronograma Fis-Fin'!Area_de_impressao</vt:lpstr>
      <vt:lpstr>'Mem. Cálc. - P.O'!Area_de_impressao</vt:lpstr>
      <vt:lpstr>'Memória de Cálculo - Composição'!Area_de_impressao</vt:lpstr>
      <vt:lpstr>'Plan. Orçamentária'!Area_de_impressao</vt:lpstr>
      <vt:lpstr>C.P.U.!Titulos_de_impressao</vt:lpstr>
      <vt:lpstr>'Cronograma Fis-Fin'!Titulos_de_impressao</vt:lpstr>
      <vt:lpstr>'Mem. Cálc. - P.O'!Titulos_de_impressao</vt:lpstr>
      <vt:lpstr>'Plan. Orçamentária'!Titulos_de_impressao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2022-11-22T17:24:17Z</dcterms:modified>
</cp:coreProperties>
</file>